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Projects\NWS-360\"/>
    </mc:Choice>
  </mc:AlternateContent>
  <xr:revisionPtr revIDLastSave="0" documentId="13_ncr:1_{611AA415-E1D5-4A73-8321-4C0F7AADD5F1}" xr6:coauthVersionLast="47" xr6:coauthVersionMax="47" xr10:uidLastSave="{00000000-0000-0000-0000-000000000000}"/>
  <bookViews>
    <workbookView xWindow="-5310" yWindow="-22470" windowWidth="20670" windowHeight="17670" tabRatio="500" activeTab="5" xr2:uid="{00000000-000D-0000-FFFF-FFFF00000000}"/>
  </bookViews>
  <sheets>
    <sheet name="Assumptions" sheetId="1" r:id="rId1"/>
    <sheet name="Monthly P&amp;L" sheetId="2" r:id="rId2"/>
    <sheet name="Breakeven Summary" sheetId="3" r:id="rId3"/>
    <sheet name="Scope &amp; Build Cost" sheetId="4" r:id="rId4"/>
    <sheet name="Open Questions" sheetId="5" r:id="rId5"/>
    <sheet name="COGS Detail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7" i="1" l="1"/>
  <c r="D9" i="6"/>
  <c r="B9" i="6"/>
  <c r="C9" i="6" s="1"/>
  <c r="C8" i="6"/>
  <c r="B8" i="6"/>
  <c r="D8" i="6" s="1"/>
  <c r="B7" i="6"/>
  <c r="D7" i="6" s="1"/>
  <c r="B6" i="6"/>
  <c r="B10" i="6" s="1"/>
  <c r="D5" i="6"/>
  <c r="C5" i="6"/>
  <c r="B5" i="6"/>
  <c r="D4" i="6"/>
  <c r="B4" i="6"/>
  <c r="C4" i="6" s="1"/>
  <c r="C3" i="6"/>
  <c r="B3" i="6"/>
  <c r="D3" i="6" s="1"/>
  <c r="D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9" i="4" s="1"/>
  <c r="F23" i="3"/>
  <c r="E23" i="3"/>
  <c r="D23" i="3"/>
  <c r="C23" i="3"/>
  <c r="B23" i="3"/>
  <c r="F22" i="3"/>
  <c r="E22" i="3"/>
  <c r="D22" i="3"/>
  <c r="C22" i="3"/>
  <c r="B22" i="3"/>
  <c r="F21" i="3"/>
  <c r="E21" i="3"/>
  <c r="D21" i="3"/>
  <c r="C21" i="3"/>
  <c r="B21" i="3"/>
  <c r="F20" i="3"/>
  <c r="E20" i="3"/>
  <c r="D20" i="3"/>
  <c r="C20" i="3"/>
  <c r="B20" i="3"/>
  <c r="F19" i="3"/>
  <c r="E19" i="3"/>
  <c r="D19" i="3"/>
  <c r="C19" i="3"/>
  <c r="B19" i="3"/>
  <c r="F18" i="3"/>
  <c r="E18" i="3"/>
  <c r="D18" i="3"/>
  <c r="C18" i="3"/>
  <c r="B18" i="3"/>
  <c r="F17" i="3"/>
  <c r="E17" i="3"/>
  <c r="D17" i="3"/>
  <c r="C17" i="3"/>
  <c r="B17" i="3"/>
  <c r="F16" i="3"/>
  <c r="E16" i="3"/>
  <c r="D16" i="3"/>
  <c r="C16" i="3"/>
  <c r="B16" i="3"/>
  <c r="B6" i="3"/>
  <c r="B4" i="3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B17" i="2"/>
  <c r="B15" i="2"/>
  <c r="B14" i="2"/>
  <c r="B12" i="2"/>
  <c r="B8" i="2"/>
  <c r="B7" i="2"/>
  <c r="B9" i="2" s="1"/>
  <c r="B4" i="2"/>
  <c r="B13" i="2" s="1"/>
  <c r="B12" i="6" l="1"/>
  <c r="B13" i="6" s="1"/>
  <c r="D10" i="6"/>
  <c r="C10" i="6"/>
  <c r="B16" i="2"/>
  <c r="B19" i="2" s="1"/>
  <c r="B21" i="2" s="1"/>
  <c r="B5" i="3"/>
  <c r="B11" i="3"/>
  <c r="C6" i="6"/>
  <c r="D6" i="6"/>
  <c r="C7" i="6"/>
  <c r="B18" i="2"/>
  <c r="C4" i="2"/>
  <c r="B22" i="2" l="1"/>
  <c r="B27" i="2"/>
  <c r="C8" i="2"/>
  <c r="C14" i="2"/>
  <c r="C15" i="2"/>
  <c r="C7" i="2"/>
  <c r="D4" i="2"/>
  <c r="C18" i="2"/>
  <c r="C13" i="2"/>
  <c r="C17" i="2"/>
  <c r="C12" i="2"/>
  <c r="C16" i="2"/>
  <c r="B7" i="3"/>
  <c r="B10" i="3"/>
  <c r="B12" i="3"/>
  <c r="C9" i="2" l="1"/>
  <c r="C19" i="2"/>
  <c r="D15" i="2"/>
  <c r="D8" i="2"/>
  <c r="D14" i="2"/>
  <c r="E4" i="2"/>
  <c r="D18" i="2"/>
  <c r="D13" i="2"/>
  <c r="D17" i="2"/>
  <c r="D12" i="2"/>
  <c r="D16" i="2"/>
  <c r="D7" i="2"/>
  <c r="D9" i="2" s="1"/>
  <c r="B31" i="2"/>
  <c r="B28" i="2"/>
  <c r="D19" i="2" l="1"/>
  <c r="D21" i="2" s="1"/>
  <c r="E15" i="2"/>
  <c r="E8" i="2"/>
  <c r="E14" i="2"/>
  <c r="E7" i="2"/>
  <c r="E9" i="2" s="1"/>
  <c r="E18" i="2"/>
  <c r="E13" i="2"/>
  <c r="E17" i="2"/>
  <c r="E12" i="2"/>
  <c r="E16" i="2"/>
  <c r="F4" i="2"/>
  <c r="C21" i="2"/>
  <c r="D27" i="2" l="1"/>
  <c r="D28" i="2" s="1"/>
  <c r="D22" i="2"/>
  <c r="C27" i="2"/>
  <c r="C22" i="2"/>
  <c r="F14" i="2"/>
  <c r="F7" i="2"/>
  <c r="G4" i="2"/>
  <c r="F17" i="2"/>
  <c r="F12" i="2"/>
  <c r="F16" i="2"/>
  <c r="F18" i="2"/>
  <c r="F13" i="2"/>
  <c r="F15" i="2"/>
  <c r="F8" i="2"/>
  <c r="E19" i="2"/>
  <c r="E21" i="2" s="1"/>
  <c r="E27" i="2" l="1"/>
  <c r="E28" i="2" s="1"/>
  <c r="E22" i="2"/>
  <c r="F19" i="2"/>
  <c r="F9" i="2"/>
  <c r="F21" i="2" s="1"/>
  <c r="C28" i="2"/>
  <c r="C31" i="2"/>
  <c r="D31" i="2" s="1"/>
  <c r="E31" i="2" s="1"/>
  <c r="G14" i="2"/>
  <c r="G18" i="2"/>
  <c r="G7" i="2"/>
  <c r="G13" i="2"/>
  <c r="H4" i="2"/>
  <c r="G12" i="2"/>
  <c r="G16" i="2"/>
  <c r="G17" i="2"/>
  <c r="G15" i="2"/>
  <c r="G8" i="2"/>
  <c r="G19" i="2" l="1"/>
  <c r="H14" i="2"/>
  <c r="H7" i="2"/>
  <c r="H18" i="2"/>
  <c r="I4" i="2"/>
  <c r="H16" i="2"/>
  <c r="H17" i="2"/>
  <c r="H12" i="2"/>
  <c r="H8" i="2"/>
  <c r="H15" i="2"/>
  <c r="H13" i="2"/>
  <c r="G9" i="2"/>
  <c r="G21" i="2" s="1"/>
  <c r="F31" i="2"/>
  <c r="F27" i="2"/>
  <c r="F28" i="2" s="1"/>
  <c r="F22" i="2"/>
  <c r="H9" i="2" l="1"/>
  <c r="G27" i="2"/>
  <c r="G28" i="2" s="1"/>
  <c r="G22" i="2"/>
  <c r="H19" i="2"/>
  <c r="I14" i="2"/>
  <c r="I7" i="2"/>
  <c r="J4" i="2"/>
  <c r="I18" i="2"/>
  <c r="I13" i="2"/>
  <c r="I17" i="2"/>
  <c r="I12" i="2"/>
  <c r="I8" i="2"/>
  <c r="I15" i="2"/>
  <c r="I16" i="2"/>
  <c r="I19" i="2" l="1"/>
  <c r="J13" i="2"/>
  <c r="K4" i="2"/>
  <c r="J12" i="2"/>
  <c r="J18" i="2"/>
  <c r="J17" i="2"/>
  <c r="J16" i="2"/>
  <c r="J8" i="2"/>
  <c r="J15" i="2"/>
  <c r="J14" i="2"/>
  <c r="J7" i="2"/>
  <c r="J9" i="2" s="1"/>
  <c r="I9" i="2"/>
  <c r="I21" i="2" s="1"/>
  <c r="H21" i="2"/>
  <c r="G31" i="2"/>
  <c r="H27" i="2" l="1"/>
  <c r="H28" i="2" s="1"/>
  <c r="H22" i="2"/>
  <c r="I27" i="2"/>
  <c r="I28" i="2" s="1"/>
  <c r="I22" i="2"/>
  <c r="J19" i="2"/>
  <c r="J21" i="2" s="1"/>
  <c r="K12" i="2"/>
  <c r="L4" i="2"/>
  <c r="K13" i="2"/>
  <c r="K17" i="2"/>
  <c r="K18" i="2"/>
  <c r="K16" i="2"/>
  <c r="K8" i="2"/>
  <c r="K15" i="2"/>
  <c r="K14" i="2"/>
  <c r="K7" i="2"/>
  <c r="K9" i="2" s="1"/>
  <c r="J27" i="2" l="1"/>
  <c r="J28" i="2" s="1"/>
  <c r="J22" i="2"/>
  <c r="M4" i="2"/>
  <c r="L17" i="2"/>
  <c r="L18" i="2"/>
  <c r="L13" i="2"/>
  <c r="L12" i="2"/>
  <c r="L19" i="2" s="1"/>
  <c r="L8" i="2"/>
  <c r="L14" i="2"/>
  <c r="L16" i="2"/>
  <c r="L15" i="2"/>
  <c r="L7" i="2"/>
  <c r="L9" i="2" s="1"/>
  <c r="L21" i="2" s="1"/>
  <c r="H31" i="2"/>
  <c r="I31" i="2" s="1"/>
  <c r="K19" i="2"/>
  <c r="K21" i="2" s="1"/>
  <c r="J31" i="2" l="1"/>
  <c r="K31" i="2" s="1"/>
  <c r="K27" i="2"/>
  <c r="K28" i="2" s="1"/>
  <c r="K22" i="2"/>
  <c r="L27" i="2"/>
  <c r="L28" i="2" s="1"/>
  <c r="L22" i="2"/>
  <c r="M18" i="2"/>
  <c r="M13" i="2"/>
  <c r="M17" i="2"/>
  <c r="M12" i="2"/>
  <c r="M16" i="2"/>
  <c r="M15" i="2"/>
  <c r="M8" i="2"/>
  <c r="M14" i="2"/>
  <c r="M7" i="2"/>
  <c r="N4" i="2"/>
  <c r="N17" i="2" l="1"/>
  <c r="N12" i="2"/>
  <c r="N15" i="2"/>
  <c r="N8" i="2"/>
  <c r="N16" i="2"/>
  <c r="N14" i="2"/>
  <c r="N7" i="2"/>
  <c r="N9" i="2" s="1"/>
  <c r="O4" i="2"/>
  <c r="N18" i="2"/>
  <c r="N13" i="2"/>
  <c r="M9" i="2"/>
  <c r="M21" i="2" s="1"/>
  <c r="M19" i="2"/>
  <c r="L31" i="2"/>
  <c r="M27" i="2" l="1"/>
  <c r="M28" i="2" s="1"/>
  <c r="M22" i="2"/>
  <c r="N19" i="2"/>
  <c r="O17" i="2"/>
  <c r="O12" i="2"/>
  <c r="O16" i="2"/>
  <c r="O8" i="2"/>
  <c r="O15" i="2"/>
  <c r="O14" i="2"/>
  <c r="O7" i="2"/>
  <c r="O9" i="2" s="1"/>
  <c r="P4" i="2"/>
  <c r="O18" i="2"/>
  <c r="O13" i="2"/>
  <c r="N21" i="2"/>
  <c r="N27" i="2" l="1"/>
  <c r="N28" i="2" s="1"/>
  <c r="N22" i="2"/>
  <c r="P17" i="2"/>
  <c r="P12" i="2"/>
  <c r="P16" i="2"/>
  <c r="P15" i="2"/>
  <c r="P8" i="2"/>
  <c r="Q4" i="2"/>
  <c r="P13" i="2"/>
  <c r="P14" i="2"/>
  <c r="P7" i="2"/>
  <c r="P9" i="2" s="1"/>
  <c r="P18" i="2"/>
  <c r="O19" i="2"/>
  <c r="M31" i="2"/>
  <c r="N31" i="2" s="1"/>
  <c r="O21" i="2"/>
  <c r="O22" i="2" l="1"/>
  <c r="O27" i="2"/>
  <c r="O28" i="2" s="1"/>
  <c r="O31" i="2"/>
  <c r="Q17" i="2"/>
  <c r="Q12" i="2"/>
  <c r="Q16" i="2"/>
  <c r="Q15" i="2"/>
  <c r="Q8" i="2"/>
  <c r="Q13" i="2"/>
  <c r="R4" i="2"/>
  <c r="Q18" i="2"/>
  <c r="Q14" i="2"/>
  <c r="Q7" i="2"/>
  <c r="P19" i="2"/>
  <c r="P21" i="2" s="1"/>
  <c r="P22" i="2" l="1"/>
  <c r="P27" i="2"/>
  <c r="P28" i="2" s="1"/>
  <c r="Q9" i="2"/>
  <c r="P31" i="2"/>
  <c r="R16" i="2"/>
  <c r="R15" i="2"/>
  <c r="R7" i="2"/>
  <c r="R9" i="2" s="1"/>
  <c r="R8" i="2"/>
  <c r="R14" i="2"/>
  <c r="S4" i="2"/>
  <c r="R18" i="2"/>
  <c r="R13" i="2"/>
  <c r="R17" i="2"/>
  <c r="R12" i="2"/>
  <c r="R19" i="2" s="1"/>
  <c r="Q19" i="2"/>
  <c r="R21" i="2" l="1"/>
  <c r="S8" i="2"/>
  <c r="S16" i="2"/>
  <c r="S15" i="2"/>
  <c r="S14" i="2"/>
  <c r="S7" i="2"/>
  <c r="S9" i="2" s="1"/>
  <c r="S21" i="2" s="1"/>
  <c r="T4" i="2"/>
  <c r="S18" i="2"/>
  <c r="S13" i="2"/>
  <c r="S17" i="2"/>
  <c r="S12" i="2"/>
  <c r="S19" i="2" s="1"/>
  <c r="Q21" i="2"/>
  <c r="Q22" i="2" l="1"/>
  <c r="Q27" i="2"/>
  <c r="S22" i="2"/>
  <c r="S27" i="2"/>
  <c r="S28" i="2" s="1"/>
  <c r="T16" i="2"/>
  <c r="T8" i="2"/>
  <c r="T15" i="2"/>
  <c r="T14" i="2"/>
  <c r="T7" i="2"/>
  <c r="T13" i="2"/>
  <c r="T17" i="2"/>
  <c r="U4" i="2"/>
  <c r="T18" i="2"/>
  <c r="T12" i="2"/>
  <c r="R22" i="2"/>
  <c r="R27" i="2"/>
  <c r="R28" i="2" s="1"/>
  <c r="T19" i="2" l="1"/>
  <c r="T9" i="2"/>
  <c r="T21" i="2" s="1"/>
  <c r="U16" i="2"/>
  <c r="U15" i="2"/>
  <c r="U8" i="2"/>
  <c r="U14" i="2"/>
  <c r="U7" i="2"/>
  <c r="U9" i="2" s="1"/>
  <c r="V4" i="2"/>
  <c r="U18" i="2"/>
  <c r="U13" i="2"/>
  <c r="U17" i="2"/>
  <c r="U12" i="2"/>
  <c r="U19" i="2" s="1"/>
  <c r="Q28" i="2"/>
  <c r="Q31" i="2"/>
  <c r="R31" i="2" s="1"/>
  <c r="S31" i="2" s="1"/>
  <c r="V8" i="2" l="1"/>
  <c r="V15" i="2"/>
  <c r="V14" i="2"/>
  <c r="V7" i="2"/>
  <c r="V9" i="2" s="1"/>
  <c r="W4" i="2"/>
  <c r="V18" i="2"/>
  <c r="V13" i="2"/>
  <c r="V17" i="2"/>
  <c r="V12" i="2"/>
  <c r="V19" i="2" s="1"/>
  <c r="V16" i="2"/>
  <c r="U21" i="2"/>
  <c r="T22" i="2"/>
  <c r="T27" i="2"/>
  <c r="T28" i="2" s="1"/>
  <c r="U22" i="2" l="1"/>
  <c r="U27" i="2"/>
  <c r="U28" i="2" s="1"/>
  <c r="W14" i="2"/>
  <c r="W7" i="2"/>
  <c r="W8" i="2"/>
  <c r="W15" i="2"/>
  <c r="W18" i="2"/>
  <c r="W13" i="2"/>
  <c r="W17" i="2"/>
  <c r="W12" i="2"/>
  <c r="X4" i="2"/>
  <c r="W16" i="2"/>
  <c r="V21" i="2"/>
  <c r="T31" i="2"/>
  <c r="U31" i="2" s="1"/>
  <c r="V22" i="2" l="1"/>
  <c r="V27" i="2"/>
  <c r="V28" i="2" s="1"/>
  <c r="X15" i="2"/>
  <c r="X8" i="2"/>
  <c r="X7" i="2"/>
  <c r="X9" i="2" s="1"/>
  <c r="X14" i="2"/>
  <c r="Y4" i="2"/>
  <c r="X12" i="2"/>
  <c r="X16" i="2"/>
  <c r="X18" i="2"/>
  <c r="X13" i="2"/>
  <c r="X17" i="2"/>
  <c r="W19" i="2"/>
  <c r="W9" i="2"/>
  <c r="W21" i="2" s="1"/>
  <c r="W27" i="2" l="1"/>
  <c r="W28" i="2" s="1"/>
  <c r="W22" i="2"/>
  <c r="X19" i="2"/>
  <c r="Y15" i="2"/>
  <c r="Y8" i="2"/>
  <c r="Y14" i="2"/>
  <c r="Y7" i="2"/>
  <c r="Y9" i="2" s="1"/>
  <c r="Y18" i="2"/>
  <c r="Y13" i="2"/>
  <c r="Y16" i="2"/>
  <c r="Y17" i="2"/>
  <c r="Y12" i="2"/>
  <c r="Y19" i="2" s="1"/>
  <c r="X21" i="2"/>
  <c r="V31" i="2"/>
  <c r="W31" i="2" s="1"/>
  <c r="X27" i="2" l="1"/>
  <c r="X28" i="2" s="1"/>
  <c r="X22" i="2"/>
  <c r="Y21" i="2"/>
  <c r="Y27" i="2" l="1"/>
  <c r="Y28" i="2" s="1"/>
  <c r="Y22" i="2"/>
  <c r="X31" i="2"/>
  <c r="Y31" i="2" s="1"/>
</calcChain>
</file>

<file path=xl/sharedStrings.xml><?xml version="1.0" encoding="utf-8"?>
<sst xmlns="http://schemas.openxmlformats.org/spreadsheetml/2006/main" count="258" uniqueCount="221">
  <si>
    <t>NWS-360 — Model Assumptions &amp; Inputs</t>
  </si>
  <si>
    <t>All blue cells are inputs. Change them to model different scenarios.</t>
  </si>
  <si>
    <t>PRICING</t>
  </si>
  <si>
    <t>Monthly retainer — low</t>
  </si>
  <si>
    <t>Source: NWS-360 Estimating Brief 2026-04-02</t>
  </si>
  <si>
    <t>Monthly retainer — high</t>
  </si>
  <si>
    <t>Baseline assessment price (one-time)</t>
  </si>
  <si>
    <t>⚠ NOT DECIDED — needs leadership approval</t>
  </si>
  <si>
    <t>Sales funnel deeper assessment (~$50)</t>
  </si>
  <si>
    <t>Retainer hours/month — low</t>
  </si>
  <si>
    <t>Retainer hours/month — high</t>
  </si>
  <si>
    <t>LABOR COST</t>
  </si>
  <si>
    <t>Blended fully-loaded hourly rate (all-in)</t>
  </si>
  <si>
    <t>Includes salary, benefits, overhead allocation</t>
  </si>
  <si>
    <t>Account Manager hrs/client/mo</t>
  </si>
  <si>
    <t>SEO Specialist hrs/client/mo</t>
  </si>
  <si>
    <t>Front-end Dev hrs/client/mo</t>
  </si>
  <si>
    <t>Project Manager hrs/client/mo</t>
  </si>
  <si>
    <t>Back-end Dev hrs/client/mo</t>
  </si>
  <si>
    <t>Specialist bench (avg hrs/client/mo)</t>
  </si>
  <si>
    <t>Accessibility, GTM, UX, Security, Content, etc.</t>
  </si>
  <si>
    <t>RECURRING COGS (per client / per month)</t>
  </si>
  <si>
    <t>Scan API / Lighthouse calls</t>
  </si>
  <si>
    <t>CMP scan tool (pro-rated per client)</t>
  </si>
  <si>
    <t>Accessibility scan tool (pro-rated)</t>
  </si>
  <si>
    <t>Uptime monitoring infra (Greg's system)</t>
  </si>
  <si>
    <t>AI inference / recommendations engine</t>
  </si>
  <si>
    <t>⚠ Model/hosting TBD — estimate only</t>
  </si>
  <si>
    <t>Hosting / portal infra (per client share)</t>
  </si>
  <si>
    <t>Per-client vs. shared multi-tenant TBD</t>
  </si>
  <si>
    <t>ONE-TIME BUILD COST (26 scope items)</t>
  </si>
  <si>
    <t>Total estimated build hours</t>
  </si>
  <si>
    <t>⚠ Rough — open questions remain (see Sheet: Open Questions)</t>
  </si>
  <si>
    <t>Avg fully-loaded dev rate for build</t>
  </si>
  <si>
    <t>GROWTH ASSUMPTIONS</t>
  </si>
  <si>
    <t>Clients at go-live (Month 1)</t>
  </si>
  <si>
    <t>New clients added per month</t>
  </si>
  <si>
    <t>Adjust for realistic ramp</t>
  </si>
  <si>
    <t>Client churn rate (monthly %)</t>
  </si>
  <si>
    <t>Retainer price used in model (low/high avg)</t>
  </si>
  <si>
    <t>Default: midpoint of $4K–$6K range</t>
  </si>
  <si>
    <t>NWS-360 — 24-Month Monthly P&amp;L Projection</t>
  </si>
  <si>
    <t>LINE ITEM</t>
  </si>
  <si>
    <t>Mo 1</t>
  </si>
  <si>
    <t>Mo 2</t>
  </si>
  <si>
    <t>Mo 3</t>
  </si>
  <si>
    <t>Mo 4</t>
  </si>
  <si>
    <t>Mo 5</t>
  </si>
  <si>
    <t>Mo 6</t>
  </si>
  <si>
    <t>Mo 7</t>
  </si>
  <si>
    <t>Mo 8</t>
  </si>
  <si>
    <t>Mo 9</t>
  </si>
  <si>
    <t>Mo 10</t>
  </si>
  <si>
    <t>Mo 11</t>
  </si>
  <si>
    <t>Mo 12</t>
  </si>
  <si>
    <t>Mo 13</t>
  </si>
  <si>
    <t>Mo 14</t>
  </si>
  <si>
    <t>Mo 15</t>
  </si>
  <si>
    <t>Mo 16</t>
  </si>
  <si>
    <t>Mo 17</t>
  </si>
  <si>
    <t>Mo 18</t>
  </si>
  <si>
    <t>Mo 19</t>
  </si>
  <si>
    <t>Mo 20</t>
  </si>
  <si>
    <t>Mo 21</t>
  </si>
  <si>
    <t>Mo 22</t>
  </si>
  <si>
    <t>Mo 23</t>
  </si>
  <si>
    <t>Mo 24</t>
  </si>
  <si>
    <t>CLIENTS</t>
  </si>
  <si>
    <t>Active clients (end of month)</t>
  </si>
  <si>
    <t>REVENUE</t>
  </si>
  <si>
    <t xml:space="preserve">  Retainer revenue</t>
  </si>
  <si>
    <t xml:space="preserve">  Baseline assessment (new clients)</t>
  </si>
  <si>
    <t>TOTAL REVENUE</t>
  </si>
  <si>
    <t>COST OF GOODS SOLD (variable, per client)</t>
  </si>
  <si>
    <t xml:space="preserve">  Labor — delivery team</t>
  </si>
  <si>
    <t xml:space="preserve">  Scan API / Lighthouse</t>
  </si>
  <si>
    <t xml:space="preserve">  CMP scan tool</t>
  </si>
  <si>
    <t xml:space="preserve">  Accessibility scan tool</t>
  </si>
  <si>
    <t xml:space="preserve">  Uptime monitoring</t>
  </si>
  <si>
    <t xml:space="preserve">  AI inference</t>
  </si>
  <si>
    <t xml:space="preserve">  Hosting / portal infra</t>
  </si>
  <si>
    <t>TOTAL COGS</t>
  </si>
  <si>
    <t>GROSS PROFIT</t>
  </si>
  <si>
    <t xml:space="preserve">  Gross margin %</t>
  </si>
  <si>
    <t>BUILD COST (amortized over 24 months)</t>
  </si>
  <si>
    <t xml:space="preserve">  Build cost amortized (monthly)</t>
  </si>
  <si>
    <t>NET OPERATING INCOME (after build amort)</t>
  </si>
  <si>
    <t xml:space="preserve">  NOI margin %</t>
  </si>
  <si>
    <t>CUMULATIVE (breakeven tracker)</t>
  </si>
  <si>
    <t>Cumulative NOI</t>
  </si>
  <si>
    <t>NWS-360 — Breakeven &amp; Profitability Summary</t>
  </si>
  <si>
    <t>KEY FINANCIALS (from model)</t>
  </si>
  <si>
    <t>Total one-time build cost</t>
  </si>
  <si>
    <t>Monthly build cost amortized (÷24)</t>
  </si>
  <si>
    <t>Monthly retainer (mid price)</t>
  </si>
  <si>
    <t>COGS per client per month (labor + tools)</t>
  </si>
  <si>
    <t>BREAKEVEN ANALYSIS</t>
  </si>
  <si>
    <t>Clients needed to break even (excl. build)</t>
  </si>
  <si>
    <t>Clients where monthly profit covers build amortization</t>
  </si>
  <si>
    <t>Gross profit per client per month</t>
  </si>
  <si>
    <t>Gross margin per client</t>
  </si>
  <si>
    <t>SCENARIO MATRIX — Monthly NOI by Client Count &amp; Price</t>
  </si>
  <si>
    <t>Clients \ Price</t>
  </si>
  <si>
    <t>$4,000/mo</t>
  </si>
  <si>
    <t>$4,500/mo</t>
  </si>
  <si>
    <t>$5,000/mo</t>
  </si>
  <si>
    <t>$5,500/mo</t>
  </si>
  <si>
    <t>$6,000/mo</t>
  </si>
  <si>
    <t>1 client</t>
  </si>
  <si>
    <t>2 clients</t>
  </si>
  <si>
    <t>3 clients</t>
  </si>
  <si>
    <t>5 clients</t>
  </si>
  <si>
    <t>8 clients</t>
  </si>
  <si>
    <t>10 clients</t>
  </si>
  <si>
    <t>15 clients</t>
  </si>
  <si>
    <t>20 clients</t>
  </si>
  <si>
    <t>NWS-360 — Scope &amp; Build Cost Estimator</t>
  </si>
  <si>
    <t>#</t>
  </si>
  <si>
    <t>Work Item</t>
  </si>
  <si>
    <t>Category</t>
  </si>
  <si>
    <t>Est. Hours</t>
  </si>
  <si>
    <t>Est. Cost</t>
  </si>
  <si>
    <t>Risk / Dependency</t>
  </si>
  <si>
    <t>Marketing funnel web app — URL input + report UI</t>
  </si>
  <si>
    <t>Marketing Funnel</t>
  </si>
  <si>
    <t>CMP fast scan</t>
  </si>
  <si>
    <t>Tool/API TBD</t>
  </si>
  <si>
    <t>Accessibility fast scan</t>
  </si>
  <si>
    <t>Core Web Vitals check</t>
  </si>
  <si>
    <t>Google API or Lighthouse</t>
  </si>
  <si>
    <t>SEO fast scan</t>
  </si>
  <si>
    <t>GA config scan</t>
  </si>
  <si>
    <t>404 / broken page check</t>
  </si>
  <si>
    <t>Email capture + delivery flow</t>
  </si>
  <si>
    <t>Prospect account creation (optional)</t>
  </si>
  <si>
    <t>⚠ DECISION NOT MADE</t>
  </si>
  <si>
    <t>Training / explainer video content</t>
  </si>
  <si>
    <t>Content owner TBD</t>
  </si>
  <si>
    <t>Payment gate for sales funnel</t>
  </si>
  <si>
    <t>Sales Funnel</t>
  </si>
  <si>
    <t>⚠ x402 vs standard — not decided</t>
  </si>
  <si>
    <t>CMP full scan (deeper)</t>
  </si>
  <si>
    <t>Client portal — dashboard UI shell</t>
  </si>
  <si>
    <t>Client Portal</t>
  </si>
  <si>
    <t>Client portal — performance module</t>
  </si>
  <si>
    <t>Lighthouse integration</t>
  </si>
  <si>
    <t>Client portal — SEO module</t>
  </si>
  <si>
    <t>Client portal — mobile module</t>
  </si>
  <si>
    <t>Client portal — security module</t>
  </si>
  <si>
    <t>Client portal — uptime dashboard</t>
  </si>
  <si>
    <t>Greg's backend</t>
  </si>
  <si>
    <t>Client portal — CMP &amp; accessibility scores</t>
  </si>
  <si>
    <t>Client portal — baseline inventory module</t>
  </si>
  <si>
    <t>Full spider/crawler required</t>
  </si>
  <si>
    <t>Client portal — AI recommendations engine</t>
  </si>
  <si>
    <t>⚠ Model, hosting, prompt TBD</t>
  </si>
  <si>
    <t>Uptime monitor backend</t>
  </si>
  <si>
    <t>Infrastructure</t>
  </si>
  <si>
    <t>Greg owns; notification strategy TBD</t>
  </si>
  <si>
    <t>Service pages (HTML) — ~10 remaining</t>
  </si>
  <si>
    <t>Marketing / Content</t>
  </si>
  <si>
    <t>CMP page built</t>
  </si>
  <si>
    <t>Monthly exec summary template</t>
  </si>
  <si>
    <t>Templates</t>
  </si>
  <si>
    <t>Quarterly compliance scorecard template</t>
  </si>
  <si>
    <t>Quarterly ROI report template</t>
  </si>
  <si>
    <t>TOTAL BUILD</t>
  </si>
  <si>
    <t>⚠ NOTE: Items #9, #11, #21 have undecided dependencies that could add 150–250 hours. Treat total as a floor, not a ceiling.</t>
  </si>
  <si>
    <t>NWS-360 — Open Questions (Estimating Blockers)</t>
  </si>
  <si>
    <t>Question</t>
  </si>
  <si>
    <t>Owner</t>
  </si>
  <si>
    <t>Estimating Impact</t>
  </si>
  <si>
    <t>Status</t>
  </si>
  <si>
    <t>What is the baseline assessment price?</t>
  </si>
  <si>
    <t>Patrick / leadership</t>
  </si>
  <si>
    <t>Gates sales funnel pricing entirely</t>
  </si>
  <si>
    <t>OPEN</t>
  </si>
  <si>
    <t>Is x402 payment gateway a go or no-go?</t>
  </si>
  <si>
    <t>Patrick</t>
  </si>
  <si>
    <t>Changes payment build scope significantly (+40–80 hrs)</t>
  </si>
  <si>
    <t>Does prospect account creation happen?</t>
  </si>
  <si>
    <t>Adds auth/account infra if yes (+50–80 hrs)</t>
  </si>
  <si>
    <t>Is the free scan standalone or pure lead-gen?</t>
  </si>
  <si>
    <t>Affects build priority and feature scope</t>
  </si>
  <si>
    <t>Downtime notification strategy?</t>
  </si>
  <si>
    <t>Greg</t>
  </si>
  <si>
    <t>Required to spec uptime notification system</t>
  </si>
  <si>
    <t>Who owns Portal / Funnel / Sales / Uptime?</t>
  </si>
  <si>
    <t>Patrick / team</t>
  </si>
  <si>
    <t>Required for resource planning and sequencing</t>
  </si>
  <si>
    <t>What ships first — Wave 1 definition?</t>
  </si>
  <si>
    <t>Gates sequencing and milestone dates</t>
  </si>
  <si>
    <t>Spider/crawler — licensed tool or custom build?</t>
  </si>
  <si>
    <t>Unknown</t>
  </si>
  <si>
    <t>Large scope delta: licensed ~30 hrs vs custom ~100+ hrs</t>
  </si>
  <si>
    <t>AI recommendations — model, hosted where, trigger?</t>
  </si>
  <si>
    <t>Cost and build complexity driver</t>
  </si>
  <si>
    <t>How many client portals at go-live?</t>
  </si>
  <si>
    <t>Scales infra and onboarding effort</t>
  </si>
  <si>
    <t>NWS-360 — Recurring COGS Detail (Per Client / Per Month)</t>
  </si>
  <si>
    <t>Cost Item</t>
  </si>
  <si>
    <t>Per Client/Mo</t>
  </si>
  <si>
    <t>@ 5 clients</t>
  </si>
  <si>
    <t>@ 10 clients</t>
  </si>
  <si>
    <t>Notes</t>
  </si>
  <si>
    <t>Labor (all roles, {}_hrs x ${rate}/hr blended)</t>
  </si>
  <si>
    <t>30–40 hrs/client/mo at blended rate</t>
  </si>
  <si>
    <t>Scan API / Lighthouse</t>
  </si>
  <si>
    <t>Volume: daily uptime, monthly SEO, quarterly full</t>
  </si>
  <si>
    <t>CMP scan tool</t>
  </si>
  <si>
    <t>Pro-rated from annual license</t>
  </si>
  <si>
    <t>Accessibility scan tool</t>
  </si>
  <si>
    <t>Uptime monitoring (Greg's system)</t>
  </si>
  <si>
    <t>Infra cost per client share</t>
  </si>
  <si>
    <t>AI inference / recommendations</t>
  </si>
  <si>
    <t>⚠ Model/hosting TBD</t>
  </si>
  <si>
    <t>Hosting / portal infra</t>
  </si>
  <si>
    <t>Per-client vs shared multi-tenant TBD</t>
  </si>
  <si>
    <t>TOTAL COGS per client per month</t>
  </si>
  <si>
    <t>Gross profit per client per month (@ $5K retainer)</t>
  </si>
  <si>
    <t>Gross margin per client (@ $5K retainer)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</si>
</sst>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;&quot;($&quot;#,##0\);\-"/>
    <numFmt numFmtId="165" formatCode="#,##0;\(#,##0\);\-"/>
    <numFmt numFmtId="166" formatCode="\$#,##0.00;&quot;($&quot;#,##0.00\);\-"/>
    <numFmt numFmtId="167" formatCode="0.0%;\(0.0%\);\-"/>
  </numFmts>
  <fonts count="14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404040"/>
      <name val="Arial"/>
      <charset val="1"/>
    </font>
    <font>
      <sz val="10"/>
      <color rgb="FF0000FF"/>
      <name val="Arial"/>
      <charset val="1"/>
    </font>
    <font>
      <b/>
      <sz val="10"/>
      <color rgb="FF40404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sz val="10"/>
      <name val="Arial"/>
      <charset val="1"/>
    </font>
    <font>
      <sz val="10"/>
      <color rgb="FF006400"/>
      <name val="Arial"/>
      <charset val="1"/>
    </font>
    <font>
      <sz val="10"/>
      <color rgb="FF8B0000"/>
      <name val="Arial"/>
      <charset val="1"/>
    </font>
    <font>
      <b/>
      <sz val="10"/>
      <name val="Arial"/>
      <charset val="1"/>
    </font>
    <font>
      <i/>
      <sz val="10"/>
      <color rgb="FF8B0000"/>
      <name val="Arial"/>
      <charset val="1"/>
    </font>
    <font>
      <b/>
      <sz val="10"/>
      <color rgb="FFFF0000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  <fill>
      <patternFill patternType="solid">
        <fgColor rgb="FF1F5C99"/>
        <bgColor rgb="FF333399"/>
      </patternFill>
    </fill>
    <fill>
      <patternFill patternType="solid">
        <fgColor rgb="FFEEF4FA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D6E4F0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FCE4D6"/>
        <bgColor rgb="FFF2F2F2"/>
      </patternFill>
    </fill>
    <fill>
      <patternFill patternType="solid">
        <fgColor rgb="FFF2F2F2"/>
        <bgColor rgb="FFEEF4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2" fillId="0" borderId="0" xfId="0" applyFont="1"/>
    <xf numFmtId="0" fontId="2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164" fontId="4" fillId="4" borderId="0" xfId="0" applyNumberFormat="1" applyFont="1" applyFill="1" applyAlignment="1">
      <alignment horizontal="right" vertical="center"/>
    </xf>
    <xf numFmtId="164" fontId="4" fillId="5" borderId="0" xfId="0" applyNumberFormat="1" applyFont="1" applyFill="1" applyAlignment="1">
      <alignment horizontal="right" vertical="center"/>
    </xf>
    <xf numFmtId="165" fontId="4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7" fontId="4" fillId="4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6" fillId="6" borderId="0" xfId="0" applyNumberFormat="1" applyFont="1" applyFill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4" fontId="6" fillId="7" borderId="0" xfId="0" applyNumberFormat="1" applyFont="1" applyFill="1" applyAlignment="1">
      <alignment horizontal="right" vertical="center"/>
    </xf>
    <xf numFmtId="164" fontId="6" fillId="8" borderId="0" xfId="0" applyNumberFormat="1" applyFont="1" applyFill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5" fontId="6" fillId="7" borderId="0" xfId="0" applyNumberFormat="1" applyFont="1" applyFill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right" vertical="center"/>
    </xf>
    <xf numFmtId="0" fontId="8" fillId="9" borderId="0" xfId="0" applyFont="1" applyFill="1" applyAlignment="1">
      <alignment horizontal="center"/>
    </xf>
    <xf numFmtId="0" fontId="3" fillId="9" borderId="0" xfId="0" applyFont="1" applyFill="1" applyAlignment="1">
      <alignment horizontal="left" vertical="center"/>
    </xf>
    <xf numFmtId="165" fontId="4" fillId="9" borderId="0" xfId="0" applyNumberFormat="1" applyFont="1" applyFill="1" applyAlignment="1">
      <alignment horizontal="right" vertical="center"/>
    </xf>
    <xf numFmtId="164" fontId="9" fillId="9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164" fontId="6" fillId="6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8" fillId="9" borderId="0" xfId="0" applyFont="1" applyFill="1" applyAlignment="1">
      <alignment vertical="center" wrapText="1"/>
    </xf>
    <xf numFmtId="0" fontId="10" fillId="9" borderId="0" xfId="0" applyFont="1" applyFill="1" applyAlignment="1">
      <alignment vertical="center" wrapText="1"/>
    </xf>
    <xf numFmtId="0" fontId="13" fillId="9" borderId="0" xfId="0" applyFont="1" applyFill="1" applyAlignment="1">
      <alignment horizontal="center" vertical="center"/>
    </xf>
    <xf numFmtId="167" fontId="6" fillId="7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64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EEF4FA"/>
      <rgbColor rgb="FF660066"/>
      <rgbColor rgb="FFFF8080"/>
      <rgbColor rgb="FF1F5C99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66"/>
  </sheetPr>
  <dimension ref="A1:C37"/>
  <sheetViews>
    <sheetView showGridLines="0" zoomScaleNormal="100" workbookViewId="0">
      <pane ySplit="2" topLeftCell="A3" activePane="bottomLeft" state="frozen"/>
      <selection pane="bottomLeft" activeCell="A30" sqref="A30"/>
    </sheetView>
  </sheetViews>
  <sheetFormatPr defaultColWidth="8.7109375" defaultRowHeight="15" x14ac:dyDescent="0.25"/>
  <cols>
    <col min="1" max="1" width="36" customWidth="1"/>
    <col min="2" max="2" width="18" customWidth="1"/>
    <col min="3" max="3" width="40" customWidth="1"/>
    <col min="4" max="4" width="2" customWidth="1"/>
  </cols>
  <sheetData>
    <row r="1" spans="1:3" ht="36" customHeight="1" x14ac:dyDescent="0.25">
      <c r="A1" s="4" t="s">
        <v>0</v>
      </c>
      <c r="B1" s="4"/>
      <c r="C1" s="4"/>
    </row>
    <row r="2" spans="1:3" ht="15" customHeight="1" x14ac:dyDescent="0.25">
      <c r="A2" s="3" t="s">
        <v>1</v>
      </c>
      <c r="B2" s="3"/>
      <c r="C2" s="3"/>
    </row>
    <row r="4" spans="1:3" ht="15" customHeight="1" x14ac:dyDescent="0.25">
      <c r="A4" s="2" t="s">
        <v>2</v>
      </c>
      <c r="B4" s="2"/>
      <c r="C4" s="2"/>
    </row>
    <row r="5" spans="1:3" ht="15" customHeight="1" x14ac:dyDescent="0.25">
      <c r="A5" s="7" t="s">
        <v>3</v>
      </c>
      <c r="B5" s="8">
        <v>1000</v>
      </c>
      <c r="C5" s="7" t="s">
        <v>4</v>
      </c>
    </row>
    <row r="6" spans="1:3" ht="15" customHeight="1" x14ac:dyDescent="0.25">
      <c r="A6" s="7" t="s">
        <v>5</v>
      </c>
      <c r="B6" s="8">
        <v>5000</v>
      </c>
    </row>
    <row r="7" spans="1:3" ht="15" customHeight="1" x14ac:dyDescent="0.25">
      <c r="A7" s="7" t="s">
        <v>6</v>
      </c>
      <c r="B7" s="9">
        <v>2500</v>
      </c>
      <c r="C7" s="7" t="s">
        <v>7</v>
      </c>
    </row>
    <row r="8" spans="1:3" ht="15" customHeight="1" x14ac:dyDescent="0.25">
      <c r="A8" s="7" t="s">
        <v>8</v>
      </c>
      <c r="B8" s="8">
        <v>250</v>
      </c>
    </row>
    <row r="9" spans="1:3" ht="15" customHeight="1" x14ac:dyDescent="0.25">
      <c r="A9" s="7" t="s">
        <v>9</v>
      </c>
      <c r="B9" s="10">
        <v>10</v>
      </c>
    </row>
    <row r="10" spans="1:3" ht="15" customHeight="1" x14ac:dyDescent="0.25">
      <c r="A10" s="7" t="s">
        <v>10</v>
      </c>
      <c r="B10" s="10">
        <v>40</v>
      </c>
    </row>
    <row r="12" spans="1:3" ht="15" customHeight="1" x14ac:dyDescent="0.25">
      <c r="A12" s="2" t="s">
        <v>11</v>
      </c>
      <c r="B12" s="2"/>
      <c r="C12" s="2"/>
    </row>
    <row r="13" spans="1:3" ht="15" customHeight="1" x14ac:dyDescent="0.25">
      <c r="A13" s="7" t="s">
        <v>12</v>
      </c>
      <c r="B13" s="11">
        <v>85</v>
      </c>
      <c r="C13" s="7" t="s">
        <v>13</v>
      </c>
    </row>
    <row r="14" spans="1:3" ht="15" customHeight="1" x14ac:dyDescent="0.25">
      <c r="A14" s="7" t="s">
        <v>14</v>
      </c>
      <c r="B14" s="10">
        <v>6</v>
      </c>
    </row>
    <row r="15" spans="1:3" ht="15" customHeight="1" x14ac:dyDescent="0.25">
      <c r="A15" s="7" t="s">
        <v>15</v>
      </c>
      <c r="B15" s="10">
        <v>6</v>
      </c>
    </row>
    <row r="16" spans="1:3" ht="15" customHeight="1" x14ac:dyDescent="0.25">
      <c r="A16" s="7" t="s">
        <v>16</v>
      </c>
      <c r="B16" s="10">
        <v>5</v>
      </c>
    </row>
    <row r="17" spans="1:3" ht="15" customHeight="1" x14ac:dyDescent="0.25">
      <c r="A17" s="7" t="s">
        <v>17</v>
      </c>
      <c r="B17" s="10">
        <v>4</v>
      </c>
    </row>
    <row r="18" spans="1:3" ht="15" customHeight="1" x14ac:dyDescent="0.25">
      <c r="A18" s="7" t="s">
        <v>18</v>
      </c>
      <c r="B18" s="10">
        <v>3</v>
      </c>
    </row>
    <row r="19" spans="1:3" ht="15" customHeight="1" x14ac:dyDescent="0.25">
      <c r="A19" s="7" t="s">
        <v>19</v>
      </c>
      <c r="B19" s="10">
        <v>6</v>
      </c>
      <c r="C19" s="7" t="s">
        <v>20</v>
      </c>
    </row>
    <row r="21" spans="1:3" ht="15" customHeight="1" x14ac:dyDescent="0.25">
      <c r="A21" s="2" t="s">
        <v>21</v>
      </c>
      <c r="B21" s="2"/>
      <c r="C21" s="2"/>
    </row>
    <row r="22" spans="1:3" ht="15" customHeight="1" x14ac:dyDescent="0.25">
      <c r="A22" s="7" t="s">
        <v>22</v>
      </c>
      <c r="B22" s="8">
        <v>75</v>
      </c>
    </row>
    <row r="23" spans="1:3" ht="15" customHeight="1" x14ac:dyDescent="0.25">
      <c r="A23" s="7" t="s">
        <v>23</v>
      </c>
      <c r="B23" s="8">
        <v>50</v>
      </c>
    </row>
    <row r="24" spans="1:3" ht="15" customHeight="1" x14ac:dyDescent="0.25">
      <c r="A24" s="7" t="s">
        <v>24</v>
      </c>
      <c r="B24" s="8">
        <v>30</v>
      </c>
    </row>
    <row r="25" spans="1:3" ht="15" customHeight="1" x14ac:dyDescent="0.25">
      <c r="A25" s="7" t="s">
        <v>25</v>
      </c>
      <c r="B25" s="8">
        <v>40</v>
      </c>
    </row>
    <row r="26" spans="1:3" ht="15" customHeight="1" x14ac:dyDescent="0.25">
      <c r="A26" s="7" t="s">
        <v>26</v>
      </c>
      <c r="B26" s="8">
        <v>35</v>
      </c>
      <c r="C26" s="7" t="s">
        <v>27</v>
      </c>
    </row>
    <row r="27" spans="1:3" ht="15" customHeight="1" x14ac:dyDescent="0.25">
      <c r="A27" s="7" t="s">
        <v>28</v>
      </c>
      <c r="B27" s="8">
        <v>45</v>
      </c>
      <c r="C27" s="7" t="s">
        <v>29</v>
      </c>
    </row>
    <row r="29" spans="1:3" ht="15" customHeight="1" x14ac:dyDescent="0.25">
      <c r="A29" s="2" t="s">
        <v>30</v>
      </c>
      <c r="B29" s="2"/>
      <c r="C29" s="2"/>
    </row>
    <row r="30" spans="1:3" ht="15" customHeight="1" x14ac:dyDescent="0.25">
      <c r="A30" s="7" t="s">
        <v>31</v>
      </c>
      <c r="B30" s="10">
        <v>1200</v>
      </c>
      <c r="C30" s="7" t="s">
        <v>32</v>
      </c>
    </row>
    <row r="31" spans="1:3" ht="15" customHeight="1" x14ac:dyDescent="0.25">
      <c r="A31" s="7" t="s">
        <v>33</v>
      </c>
      <c r="B31" s="11">
        <v>90</v>
      </c>
    </row>
    <row r="33" spans="1:3" ht="15" customHeight="1" x14ac:dyDescent="0.25">
      <c r="A33" s="2" t="s">
        <v>34</v>
      </c>
      <c r="B33" s="2"/>
      <c r="C33" s="2"/>
    </row>
    <row r="34" spans="1:3" ht="15" customHeight="1" x14ac:dyDescent="0.25">
      <c r="A34" s="7" t="s">
        <v>35</v>
      </c>
      <c r="B34" s="10">
        <v>1</v>
      </c>
    </row>
    <row r="35" spans="1:3" ht="15" customHeight="1" x14ac:dyDescent="0.25">
      <c r="A35" s="7" t="s">
        <v>36</v>
      </c>
      <c r="B35" s="10">
        <v>1</v>
      </c>
      <c r="C35" s="7" t="s">
        <v>37</v>
      </c>
    </row>
    <row r="36" spans="1:3" ht="15" customHeight="1" x14ac:dyDescent="0.25">
      <c r="A36" s="7" t="s">
        <v>38</v>
      </c>
      <c r="B36" s="12">
        <v>0.02</v>
      </c>
    </row>
    <row r="37" spans="1:3" ht="15" customHeight="1" x14ac:dyDescent="0.25">
      <c r="A37" s="7" t="s">
        <v>39</v>
      </c>
      <c r="B37" s="8">
        <f>AVERAGE(B5:B6)</f>
        <v>3000</v>
      </c>
      <c r="C37" s="7" t="s">
        <v>40</v>
      </c>
    </row>
  </sheetData>
  <mergeCells count="7">
    <mergeCell ref="A29:C29"/>
    <mergeCell ref="A33:C33"/>
    <mergeCell ref="A1:C1"/>
    <mergeCell ref="A2:C2"/>
    <mergeCell ref="A4:C4"/>
    <mergeCell ref="A12:C12"/>
    <mergeCell ref="A21:C2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5C99"/>
  </sheetPr>
  <dimension ref="A1:Z3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8" sqref="B18"/>
    </sheetView>
  </sheetViews>
  <sheetFormatPr defaultColWidth="8.7109375" defaultRowHeight="15" x14ac:dyDescent="0.25"/>
  <cols>
    <col min="1" max="1" width="43.7109375" bestFit="1" customWidth="1"/>
    <col min="2" max="26" width="11" customWidth="1"/>
  </cols>
  <sheetData>
    <row r="1" spans="1:26" ht="36" customHeight="1" x14ac:dyDescent="0.25">
      <c r="A1" s="4" t="s">
        <v>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13" t="s">
        <v>42</v>
      </c>
      <c r="B2" s="5" t="s">
        <v>43</v>
      </c>
      <c r="C2" s="5" t="s">
        <v>44</v>
      </c>
      <c r="D2" s="5" t="s">
        <v>45</v>
      </c>
      <c r="E2" s="5" t="s">
        <v>46</v>
      </c>
      <c r="F2" s="5" t="s">
        <v>47</v>
      </c>
      <c r="G2" s="5" t="s">
        <v>48</v>
      </c>
      <c r="H2" s="5" t="s">
        <v>49</v>
      </c>
      <c r="I2" s="5" t="s">
        <v>50</v>
      </c>
      <c r="J2" s="5" t="s">
        <v>51</v>
      </c>
      <c r="K2" s="5" t="s">
        <v>52</v>
      </c>
      <c r="L2" s="5" t="s">
        <v>53</v>
      </c>
      <c r="M2" s="5" t="s">
        <v>54</v>
      </c>
      <c r="N2" s="5" t="s">
        <v>55</v>
      </c>
      <c r="O2" s="5" t="s">
        <v>56</v>
      </c>
      <c r="P2" s="5" t="s">
        <v>57</v>
      </c>
      <c r="Q2" s="5" t="s">
        <v>58</v>
      </c>
      <c r="R2" s="5" t="s">
        <v>59</v>
      </c>
      <c r="S2" s="5" t="s">
        <v>60</v>
      </c>
      <c r="T2" s="5" t="s">
        <v>61</v>
      </c>
      <c r="U2" s="5" t="s">
        <v>62</v>
      </c>
      <c r="V2" s="5" t="s">
        <v>63</v>
      </c>
      <c r="W2" s="5" t="s">
        <v>64</v>
      </c>
      <c r="X2" s="5" t="s">
        <v>65</v>
      </c>
      <c r="Y2" s="5" t="s">
        <v>66</v>
      </c>
    </row>
    <row r="3" spans="1:26" ht="15" customHeight="1" x14ac:dyDescent="0.25">
      <c r="A3" s="6" t="s">
        <v>67</v>
      </c>
    </row>
    <row r="4" spans="1:26" ht="15" customHeight="1" x14ac:dyDescent="0.25">
      <c r="A4" s="14" t="s">
        <v>68</v>
      </c>
      <c r="B4" s="15">
        <f>Assumptions!B34</f>
        <v>1</v>
      </c>
      <c r="C4" s="15">
        <f>ROUND(B4*(1-Assumptions!B36)+Assumptions!B35,0)</f>
        <v>2</v>
      </c>
      <c r="D4" s="15">
        <f>ROUND(C4*(1-Assumptions!B36)+Assumptions!B35,0)</f>
        <v>3</v>
      </c>
      <c r="E4" s="15">
        <f>ROUND(D4*(1-Assumptions!B36)+Assumptions!B35,0)</f>
        <v>4</v>
      </c>
      <c r="F4" s="15">
        <f>ROUND(E4*(1-Assumptions!B36)+Assumptions!B35,0)</f>
        <v>5</v>
      </c>
      <c r="G4" s="15">
        <f>ROUND(F4*(1-Assumptions!B36)+Assumptions!B35,0)</f>
        <v>6</v>
      </c>
      <c r="H4" s="15">
        <f>ROUND(G4*(1-Assumptions!B36)+Assumptions!B35,0)</f>
        <v>7</v>
      </c>
      <c r="I4" s="15">
        <f>ROUND(H4*(1-Assumptions!B36)+Assumptions!B35,0)</f>
        <v>8</v>
      </c>
      <c r="J4" s="15">
        <f>ROUND(I4*(1-Assumptions!B36)+Assumptions!B35,0)</f>
        <v>9</v>
      </c>
      <c r="K4" s="15">
        <f>ROUND(J4*(1-Assumptions!B36)+Assumptions!B35,0)</f>
        <v>10</v>
      </c>
      <c r="L4" s="15">
        <f>ROUND(K4*(1-Assumptions!B36)+Assumptions!B35,0)</f>
        <v>11</v>
      </c>
      <c r="M4" s="15">
        <f>ROUND(L4*(1-Assumptions!B36)+Assumptions!B35,0)</f>
        <v>12</v>
      </c>
      <c r="N4" s="15">
        <f>ROUND(M4*(1-Assumptions!B36)+Assumptions!B35,0)</f>
        <v>13</v>
      </c>
      <c r="O4" s="15">
        <f>ROUND(N4*(1-Assumptions!B36)+Assumptions!B35,0)</f>
        <v>14</v>
      </c>
      <c r="P4" s="15">
        <f>ROUND(O4*(1-Assumptions!B36)+Assumptions!B35,0)</f>
        <v>15</v>
      </c>
      <c r="Q4" s="15">
        <f>ROUND(P4*(1-Assumptions!B36)+Assumptions!B35,0)</f>
        <v>16</v>
      </c>
      <c r="R4" s="15">
        <f>ROUND(Q4*(1-Assumptions!B36)+Assumptions!B35,0)</f>
        <v>17</v>
      </c>
      <c r="S4" s="15">
        <f>ROUND(R4*(1-Assumptions!B36)+Assumptions!B35,0)</f>
        <v>18</v>
      </c>
      <c r="T4" s="15">
        <f>ROUND(S4*(1-Assumptions!B36)+Assumptions!B35,0)</f>
        <v>19</v>
      </c>
      <c r="U4" s="15">
        <f>ROUND(T4*(1-Assumptions!B36)+Assumptions!B35,0)</f>
        <v>20</v>
      </c>
      <c r="V4" s="15">
        <f>ROUND(U4*(1-Assumptions!B36)+Assumptions!B35,0)</f>
        <v>21</v>
      </c>
      <c r="W4" s="15">
        <f>ROUND(V4*(1-Assumptions!B36)+Assumptions!B35,0)</f>
        <v>22</v>
      </c>
      <c r="X4" s="15">
        <f>ROUND(W4*(1-Assumptions!B36)+Assumptions!B35,0)</f>
        <v>23</v>
      </c>
      <c r="Y4" s="15">
        <f>ROUND(X4*(1-Assumptions!B36)+Assumptions!B35,0)</f>
        <v>24</v>
      </c>
    </row>
    <row r="6" spans="1:26" ht="15" customHeight="1" x14ac:dyDescent="0.25">
      <c r="A6" s="6" t="s">
        <v>69</v>
      </c>
    </row>
    <row r="7" spans="1:26" ht="15" customHeight="1" x14ac:dyDescent="0.25">
      <c r="A7" s="7" t="s">
        <v>70</v>
      </c>
      <c r="B7" s="16">
        <f>B4*Assumptions!B37</f>
        <v>3000</v>
      </c>
      <c r="C7" s="16">
        <f>C4*Assumptions!B37</f>
        <v>6000</v>
      </c>
      <c r="D7" s="16">
        <f>D4*Assumptions!B37</f>
        <v>9000</v>
      </c>
      <c r="E7" s="16">
        <f>E4*Assumptions!B37</f>
        <v>12000</v>
      </c>
      <c r="F7" s="16">
        <f>F4*Assumptions!B37</f>
        <v>15000</v>
      </c>
      <c r="G7" s="16">
        <f>G4*Assumptions!B37</f>
        <v>18000</v>
      </c>
      <c r="H7" s="16">
        <f>H4*Assumptions!B37</f>
        <v>21000</v>
      </c>
      <c r="I7" s="16">
        <f>I4*Assumptions!B37</f>
        <v>24000</v>
      </c>
      <c r="J7" s="16">
        <f>J4*Assumptions!B37</f>
        <v>27000</v>
      </c>
      <c r="K7" s="16">
        <f>K4*Assumptions!B37</f>
        <v>30000</v>
      </c>
      <c r="L7" s="16">
        <f>L4*Assumptions!B37</f>
        <v>33000</v>
      </c>
      <c r="M7" s="16">
        <f>M4*Assumptions!B37</f>
        <v>36000</v>
      </c>
      <c r="N7" s="16">
        <f>N4*Assumptions!B37</f>
        <v>39000</v>
      </c>
      <c r="O7" s="16">
        <f>O4*Assumptions!B37</f>
        <v>42000</v>
      </c>
      <c r="P7" s="16">
        <f>P4*Assumptions!B37</f>
        <v>45000</v>
      </c>
      <c r="Q7" s="16">
        <f>Q4*Assumptions!B37</f>
        <v>48000</v>
      </c>
      <c r="R7" s="16">
        <f>R4*Assumptions!B37</f>
        <v>51000</v>
      </c>
      <c r="S7" s="16">
        <f>S4*Assumptions!B37</f>
        <v>54000</v>
      </c>
      <c r="T7" s="16">
        <f>T4*Assumptions!B37</f>
        <v>57000</v>
      </c>
      <c r="U7" s="16">
        <f>U4*Assumptions!B37</f>
        <v>60000</v>
      </c>
      <c r="V7" s="16">
        <f>V4*Assumptions!B37</f>
        <v>63000</v>
      </c>
      <c r="W7" s="16">
        <f>W4*Assumptions!B37</f>
        <v>66000</v>
      </c>
      <c r="X7" s="16">
        <f>X4*Assumptions!B37</f>
        <v>69000</v>
      </c>
      <c r="Y7" s="16">
        <f>Y4*Assumptions!B37</f>
        <v>72000</v>
      </c>
    </row>
    <row r="8" spans="1:26" ht="15" customHeight="1" x14ac:dyDescent="0.25">
      <c r="A8" s="7" t="s">
        <v>71</v>
      </c>
      <c r="B8" s="16">
        <f>Assumptions!B34*Assumptions!B7</f>
        <v>2500</v>
      </c>
      <c r="C8" s="16">
        <f>MAX(0,ROUND(C4-B4,0))*Assumptions!B7</f>
        <v>2500</v>
      </c>
      <c r="D8" s="16">
        <f>MAX(0,ROUND(D4-C4,0))*Assumptions!B7</f>
        <v>2500</v>
      </c>
      <c r="E8" s="16">
        <f>MAX(0,ROUND(E4-D4,0))*Assumptions!B7</f>
        <v>2500</v>
      </c>
      <c r="F8" s="16">
        <f>MAX(0,ROUND(F4-E4,0))*Assumptions!B7</f>
        <v>2500</v>
      </c>
      <c r="G8" s="16">
        <f>MAX(0,ROUND(G4-F4,0))*Assumptions!B7</f>
        <v>2500</v>
      </c>
      <c r="H8" s="16">
        <f>MAX(0,ROUND(H4-G4,0))*Assumptions!B7</f>
        <v>2500</v>
      </c>
      <c r="I8" s="16">
        <f>MAX(0,ROUND(I4-H4,0))*Assumptions!B7</f>
        <v>2500</v>
      </c>
      <c r="J8" s="16">
        <f>MAX(0,ROUND(J4-I4,0))*Assumptions!B7</f>
        <v>2500</v>
      </c>
      <c r="K8" s="16">
        <f>MAX(0,ROUND(K4-J4,0))*Assumptions!B7</f>
        <v>2500</v>
      </c>
      <c r="L8" s="16">
        <f>MAX(0,ROUND(L4-K4,0))*Assumptions!B7</f>
        <v>2500</v>
      </c>
      <c r="M8" s="16">
        <f>MAX(0,ROUND(M4-L4,0))*Assumptions!B7</f>
        <v>2500</v>
      </c>
      <c r="N8" s="16">
        <f>MAX(0,ROUND(N4-M4,0))*Assumptions!B7</f>
        <v>2500</v>
      </c>
      <c r="O8" s="16">
        <f>MAX(0,ROUND(O4-N4,0))*Assumptions!B7</f>
        <v>2500</v>
      </c>
      <c r="P8" s="16">
        <f>MAX(0,ROUND(P4-O4,0))*Assumptions!B7</f>
        <v>2500</v>
      </c>
      <c r="Q8" s="16">
        <f>MAX(0,ROUND(Q4-P4,0))*Assumptions!B7</f>
        <v>2500</v>
      </c>
      <c r="R8" s="16">
        <f>MAX(0,ROUND(R4-Q4,0))*Assumptions!B7</f>
        <v>2500</v>
      </c>
      <c r="S8" s="16">
        <f>MAX(0,ROUND(S4-R4,0))*Assumptions!B7</f>
        <v>2500</v>
      </c>
      <c r="T8" s="16">
        <f>MAX(0,ROUND(T4-S4,0))*Assumptions!B7</f>
        <v>2500</v>
      </c>
      <c r="U8" s="16">
        <f>MAX(0,ROUND(U4-T4,0))*Assumptions!B7</f>
        <v>2500</v>
      </c>
      <c r="V8" s="16">
        <f>MAX(0,ROUND(V4-U4,0))*Assumptions!B7</f>
        <v>2500</v>
      </c>
      <c r="W8" s="16">
        <f>MAX(0,ROUND(W4-V4,0))*Assumptions!B7</f>
        <v>2500</v>
      </c>
      <c r="X8" s="16">
        <f>MAX(0,ROUND(X4-W4,0))*Assumptions!B7</f>
        <v>2500</v>
      </c>
      <c r="Y8" s="16">
        <f>MAX(0,ROUND(Y4-X4,0))*Assumptions!B7</f>
        <v>2500</v>
      </c>
    </row>
    <row r="9" spans="1:26" ht="15" customHeight="1" x14ac:dyDescent="0.25">
      <c r="A9" s="14" t="s">
        <v>72</v>
      </c>
      <c r="B9" s="17">
        <f t="shared" ref="B9:Y9" si="0">SUM(B7:B8)</f>
        <v>5500</v>
      </c>
      <c r="C9" s="17">
        <f t="shared" si="0"/>
        <v>8500</v>
      </c>
      <c r="D9" s="17">
        <f t="shared" si="0"/>
        <v>11500</v>
      </c>
      <c r="E9" s="17">
        <f t="shared" si="0"/>
        <v>14500</v>
      </c>
      <c r="F9" s="17">
        <f t="shared" si="0"/>
        <v>17500</v>
      </c>
      <c r="G9" s="17">
        <f t="shared" si="0"/>
        <v>20500</v>
      </c>
      <c r="H9" s="17">
        <f t="shared" si="0"/>
        <v>23500</v>
      </c>
      <c r="I9" s="17">
        <f t="shared" si="0"/>
        <v>26500</v>
      </c>
      <c r="J9" s="17">
        <f t="shared" si="0"/>
        <v>29500</v>
      </c>
      <c r="K9" s="17">
        <f t="shared" si="0"/>
        <v>32500</v>
      </c>
      <c r="L9" s="17">
        <f t="shared" si="0"/>
        <v>35500</v>
      </c>
      <c r="M9" s="17">
        <f t="shared" si="0"/>
        <v>38500</v>
      </c>
      <c r="N9" s="17">
        <f t="shared" si="0"/>
        <v>41500</v>
      </c>
      <c r="O9" s="17">
        <f t="shared" si="0"/>
        <v>44500</v>
      </c>
      <c r="P9" s="17">
        <f t="shared" si="0"/>
        <v>47500</v>
      </c>
      <c r="Q9" s="17">
        <f t="shared" si="0"/>
        <v>50500</v>
      </c>
      <c r="R9" s="17">
        <f t="shared" si="0"/>
        <v>53500</v>
      </c>
      <c r="S9" s="17">
        <f t="shared" si="0"/>
        <v>56500</v>
      </c>
      <c r="T9" s="17">
        <f t="shared" si="0"/>
        <v>59500</v>
      </c>
      <c r="U9" s="17">
        <f t="shared" si="0"/>
        <v>62500</v>
      </c>
      <c r="V9" s="17">
        <f t="shared" si="0"/>
        <v>65500</v>
      </c>
      <c r="W9" s="17">
        <f t="shared" si="0"/>
        <v>68500</v>
      </c>
      <c r="X9" s="17">
        <f t="shared" si="0"/>
        <v>71500</v>
      </c>
      <c r="Y9" s="17">
        <f t="shared" si="0"/>
        <v>74500</v>
      </c>
    </row>
    <row r="11" spans="1:26" ht="15" customHeight="1" x14ac:dyDescent="0.25">
      <c r="A11" s="6" t="s">
        <v>73</v>
      </c>
    </row>
    <row r="12" spans="1:26" ht="15" customHeight="1" x14ac:dyDescent="0.25">
      <c r="A12" s="7" t="s">
        <v>74</v>
      </c>
      <c r="B12" s="16">
        <f>(Assumptions!B14+Assumptions!B15+Assumptions!B16+Assumptions!B17+Assumptions!B18+Assumptions!B19*Assumptions!B13)*B4</f>
        <v>534</v>
      </c>
      <c r="C12" s="16">
        <f>(Assumptions!B14+Assumptions!B15+Assumptions!B16+Assumptions!B17+Assumptions!B18+Assumptions!B19*Assumptions!B13)*C4</f>
        <v>1068</v>
      </c>
      <c r="D12" s="16">
        <f>(Assumptions!B14+Assumptions!B15+Assumptions!B16+Assumptions!B17+Assumptions!B18+Assumptions!B19*Assumptions!B13)*D4</f>
        <v>1602</v>
      </c>
      <c r="E12" s="16">
        <f>(Assumptions!B14+Assumptions!B15+Assumptions!B16+Assumptions!B17+Assumptions!B18+Assumptions!B19*Assumptions!B13)*E4</f>
        <v>2136</v>
      </c>
      <c r="F12" s="16">
        <f>(Assumptions!B14+Assumptions!B15+Assumptions!B16+Assumptions!B17+Assumptions!B18+Assumptions!B19*Assumptions!B13)*F4</f>
        <v>2670</v>
      </c>
      <c r="G12" s="16">
        <f>(Assumptions!B14+Assumptions!B15+Assumptions!B16+Assumptions!B17+Assumptions!B18+Assumptions!B19*Assumptions!B13)*G4</f>
        <v>3204</v>
      </c>
      <c r="H12" s="16">
        <f>(Assumptions!B14+Assumptions!B15+Assumptions!B16+Assumptions!B17+Assumptions!B18+Assumptions!B19*Assumptions!B13)*H4</f>
        <v>3738</v>
      </c>
      <c r="I12" s="16">
        <f>(Assumptions!B14+Assumptions!B15+Assumptions!B16+Assumptions!B17+Assumptions!B18+Assumptions!B19*Assumptions!B13)*I4</f>
        <v>4272</v>
      </c>
      <c r="J12" s="16">
        <f>(Assumptions!B14+Assumptions!B15+Assumptions!B16+Assumptions!B17+Assumptions!B18+Assumptions!B19*Assumptions!B13)*J4</f>
        <v>4806</v>
      </c>
      <c r="K12" s="16">
        <f>(Assumptions!B14+Assumptions!B15+Assumptions!B16+Assumptions!B17+Assumptions!B18+Assumptions!B19*Assumptions!B13)*K4</f>
        <v>5340</v>
      </c>
      <c r="L12" s="16">
        <f>(Assumptions!B14+Assumptions!B15+Assumptions!B16+Assumptions!B17+Assumptions!B18+Assumptions!B19*Assumptions!B13)*L4</f>
        <v>5874</v>
      </c>
      <c r="M12" s="16">
        <f>(Assumptions!B14+Assumptions!B15+Assumptions!B16+Assumptions!B17+Assumptions!B18+Assumptions!B19*Assumptions!B13)*M4</f>
        <v>6408</v>
      </c>
      <c r="N12" s="16">
        <f>(Assumptions!B14+Assumptions!B15+Assumptions!B16+Assumptions!B17+Assumptions!B18+Assumptions!B19*Assumptions!B13)*N4</f>
        <v>6942</v>
      </c>
      <c r="O12" s="16">
        <f>(Assumptions!B14+Assumptions!B15+Assumptions!B16+Assumptions!B17+Assumptions!B18+Assumptions!B19*Assumptions!B13)*O4</f>
        <v>7476</v>
      </c>
      <c r="P12" s="16">
        <f>(Assumptions!B14+Assumptions!B15+Assumptions!B16+Assumptions!B17+Assumptions!B18+Assumptions!B19*Assumptions!B13)*P4</f>
        <v>8010</v>
      </c>
      <c r="Q12" s="16">
        <f>(Assumptions!B14+Assumptions!B15+Assumptions!B16+Assumptions!B17+Assumptions!B18+Assumptions!B19*Assumptions!B13)*Q4</f>
        <v>8544</v>
      </c>
      <c r="R12" s="16">
        <f>(Assumptions!B14+Assumptions!B15+Assumptions!B16+Assumptions!B17+Assumptions!B18+Assumptions!B19*Assumptions!B13)*R4</f>
        <v>9078</v>
      </c>
      <c r="S12" s="16">
        <f>(Assumptions!B14+Assumptions!B15+Assumptions!B16+Assumptions!B17+Assumptions!B18+Assumptions!B19*Assumptions!B13)*S4</f>
        <v>9612</v>
      </c>
      <c r="T12" s="16">
        <f>(Assumptions!B14+Assumptions!B15+Assumptions!B16+Assumptions!B17+Assumptions!B18+Assumptions!B19*Assumptions!B13)*T4</f>
        <v>10146</v>
      </c>
      <c r="U12" s="16">
        <f>(Assumptions!B14+Assumptions!B15+Assumptions!B16+Assumptions!B17+Assumptions!B18+Assumptions!B19*Assumptions!B13)*U4</f>
        <v>10680</v>
      </c>
      <c r="V12" s="16">
        <f>(Assumptions!B14+Assumptions!B15+Assumptions!B16+Assumptions!B17+Assumptions!B18+Assumptions!B19*Assumptions!B13)*V4</f>
        <v>11214</v>
      </c>
      <c r="W12" s="16">
        <f>(Assumptions!B14+Assumptions!B15+Assumptions!B16+Assumptions!B17+Assumptions!B18+Assumptions!B19*Assumptions!B13)*W4</f>
        <v>11748</v>
      </c>
      <c r="X12" s="16">
        <f>(Assumptions!B14+Assumptions!B15+Assumptions!B16+Assumptions!B17+Assumptions!B18+Assumptions!B19*Assumptions!B13)*X4</f>
        <v>12282</v>
      </c>
      <c r="Y12" s="16">
        <f>(Assumptions!B14+Assumptions!B15+Assumptions!B16+Assumptions!B17+Assumptions!B18+Assumptions!B19*Assumptions!B13)*Y4</f>
        <v>12816</v>
      </c>
    </row>
    <row r="13" spans="1:26" ht="15" customHeight="1" x14ac:dyDescent="0.25">
      <c r="A13" s="7" t="s">
        <v>75</v>
      </c>
      <c r="B13" s="16">
        <f>Assumptions!B22*B4</f>
        <v>75</v>
      </c>
      <c r="C13" s="16">
        <f>Assumptions!B22*C4</f>
        <v>150</v>
      </c>
      <c r="D13" s="16">
        <f>Assumptions!B22*D4</f>
        <v>225</v>
      </c>
      <c r="E13" s="16">
        <f>Assumptions!B22*E4</f>
        <v>300</v>
      </c>
      <c r="F13" s="16">
        <f>Assumptions!B22*F4</f>
        <v>375</v>
      </c>
      <c r="G13" s="16">
        <f>Assumptions!B22*G4</f>
        <v>450</v>
      </c>
      <c r="H13" s="16">
        <f>Assumptions!B22*H4</f>
        <v>525</v>
      </c>
      <c r="I13" s="16">
        <f>Assumptions!B22*I4</f>
        <v>600</v>
      </c>
      <c r="J13" s="16">
        <f>Assumptions!B22*J4</f>
        <v>675</v>
      </c>
      <c r="K13" s="16">
        <f>Assumptions!B22*K4</f>
        <v>750</v>
      </c>
      <c r="L13" s="16">
        <f>Assumptions!B22*L4</f>
        <v>825</v>
      </c>
      <c r="M13" s="16">
        <f>Assumptions!B22*M4</f>
        <v>900</v>
      </c>
      <c r="N13" s="16">
        <f>Assumptions!B22*N4</f>
        <v>975</v>
      </c>
      <c r="O13" s="16">
        <f>Assumptions!B22*O4</f>
        <v>1050</v>
      </c>
      <c r="P13" s="16">
        <f>Assumptions!B22*P4</f>
        <v>1125</v>
      </c>
      <c r="Q13" s="16">
        <f>Assumptions!B22*Q4</f>
        <v>1200</v>
      </c>
      <c r="R13" s="16">
        <f>Assumptions!B22*R4</f>
        <v>1275</v>
      </c>
      <c r="S13" s="16">
        <f>Assumptions!B22*S4</f>
        <v>1350</v>
      </c>
      <c r="T13" s="16">
        <f>Assumptions!B22*T4</f>
        <v>1425</v>
      </c>
      <c r="U13" s="16">
        <f>Assumptions!B22*U4</f>
        <v>1500</v>
      </c>
      <c r="V13" s="16">
        <f>Assumptions!B22*V4</f>
        <v>1575</v>
      </c>
      <c r="W13" s="16">
        <f>Assumptions!B22*W4</f>
        <v>1650</v>
      </c>
      <c r="X13" s="16">
        <f>Assumptions!B22*X4</f>
        <v>1725</v>
      </c>
      <c r="Y13" s="16">
        <f>Assumptions!B22*Y4</f>
        <v>1800</v>
      </c>
    </row>
    <row r="14" spans="1:26" ht="15" customHeight="1" x14ac:dyDescent="0.25">
      <c r="A14" s="7" t="s">
        <v>76</v>
      </c>
      <c r="B14" s="16">
        <f>Assumptions!B23*B4</f>
        <v>50</v>
      </c>
      <c r="C14" s="16">
        <f>Assumptions!B23*C4</f>
        <v>100</v>
      </c>
      <c r="D14" s="16">
        <f>Assumptions!B23*D4</f>
        <v>150</v>
      </c>
      <c r="E14" s="16">
        <f>Assumptions!B23*E4</f>
        <v>200</v>
      </c>
      <c r="F14" s="16">
        <f>Assumptions!B23*F4</f>
        <v>250</v>
      </c>
      <c r="G14" s="16">
        <f>Assumptions!B23*G4</f>
        <v>300</v>
      </c>
      <c r="H14" s="16">
        <f>Assumptions!B23*H4</f>
        <v>350</v>
      </c>
      <c r="I14" s="16">
        <f>Assumptions!B23*I4</f>
        <v>400</v>
      </c>
      <c r="J14" s="16">
        <f>Assumptions!B23*J4</f>
        <v>450</v>
      </c>
      <c r="K14" s="16">
        <f>Assumptions!B23*K4</f>
        <v>500</v>
      </c>
      <c r="L14" s="16">
        <f>Assumptions!B23*L4</f>
        <v>550</v>
      </c>
      <c r="M14" s="16">
        <f>Assumptions!B23*M4</f>
        <v>600</v>
      </c>
      <c r="N14" s="16">
        <f>Assumptions!B23*N4</f>
        <v>650</v>
      </c>
      <c r="O14" s="16">
        <f>Assumptions!B23*O4</f>
        <v>700</v>
      </c>
      <c r="P14" s="16">
        <f>Assumptions!B23*P4</f>
        <v>750</v>
      </c>
      <c r="Q14" s="16">
        <f>Assumptions!B23*Q4</f>
        <v>800</v>
      </c>
      <c r="R14" s="16">
        <f>Assumptions!B23*R4</f>
        <v>850</v>
      </c>
      <c r="S14" s="16">
        <f>Assumptions!B23*S4</f>
        <v>900</v>
      </c>
      <c r="T14" s="16">
        <f>Assumptions!B23*T4</f>
        <v>950</v>
      </c>
      <c r="U14" s="16">
        <f>Assumptions!B23*U4</f>
        <v>1000</v>
      </c>
      <c r="V14" s="16">
        <f>Assumptions!B23*V4</f>
        <v>1050</v>
      </c>
      <c r="W14" s="16">
        <f>Assumptions!B23*W4</f>
        <v>1100</v>
      </c>
      <c r="X14" s="16">
        <f>Assumptions!B23*X4</f>
        <v>1150</v>
      </c>
      <c r="Y14" s="16">
        <f>Assumptions!B23*Y4</f>
        <v>1200</v>
      </c>
    </row>
    <row r="15" spans="1:26" ht="15" customHeight="1" x14ac:dyDescent="0.25">
      <c r="A15" s="7" t="s">
        <v>77</v>
      </c>
      <c r="B15" s="16">
        <f>Assumptions!B24*B4</f>
        <v>30</v>
      </c>
      <c r="C15" s="16">
        <f>Assumptions!B24*C4</f>
        <v>60</v>
      </c>
      <c r="D15" s="16">
        <f>Assumptions!B24*D4</f>
        <v>90</v>
      </c>
      <c r="E15" s="16">
        <f>Assumptions!B24*E4</f>
        <v>120</v>
      </c>
      <c r="F15" s="16">
        <f>Assumptions!B24*F4</f>
        <v>150</v>
      </c>
      <c r="G15" s="16">
        <f>Assumptions!B24*G4</f>
        <v>180</v>
      </c>
      <c r="H15" s="16">
        <f>Assumptions!B24*H4</f>
        <v>210</v>
      </c>
      <c r="I15" s="16">
        <f>Assumptions!B24*I4</f>
        <v>240</v>
      </c>
      <c r="J15" s="16">
        <f>Assumptions!B24*J4</f>
        <v>270</v>
      </c>
      <c r="K15" s="16">
        <f>Assumptions!B24*K4</f>
        <v>300</v>
      </c>
      <c r="L15" s="16">
        <f>Assumptions!B24*L4</f>
        <v>330</v>
      </c>
      <c r="M15" s="16">
        <f>Assumptions!B24*M4</f>
        <v>360</v>
      </c>
      <c r="N15" s="16">
        <f>Assumptions!B24*N4</f>
        <v>390</v>
      </c>
      <c r="O15" s="16">
        <f>Assumptions!B24*O4</f>
        <v>420</v>
      </c>
      <c r="P15" s="16">
        <f>Assumptions!B24*P4</f>
        <v>450</v>
      </c>
      <c r="Q15" s="16">
        <f>Assumptions!B24*Q4</f>
        <v>480</v>
      </c>
      <c r="R15" s="16">
        <f>Assumptions!B24*R4</f>
        <v>510</v>
      </c>
      <c r="S15" s="16">
        <f>Assumptions!B24*S4</f>
        <v>540</v>
      </c>
      <c r="T15" s="16">
        <f>Assumptions!B24*T4</f>
        <v>570</v>
      </c>
      <c r="U15" s="16">
        <f>Assumptions!B24*U4</f>
        <v>600</v>
      </c>
      <c r="V15" s="16">
        <f>Assumptions!B24*V4</f>
        <v>630</v>
      </c>
      <c r="W15" s="16">
        <f>Assumptions!B24*W4</f>
        <v>660</v>
      </c>
      <c r="X15" s="16">
        <f>Assumptions!B24*X4</f>
        <v>690</v>
      </c>
      <c r="Y15" s="16">
        <f>Assumptions!B24*Y4</f>
        <v>720</v>
      </c>
    </row>
    <row r="16" spans="1:26" ht="15" customHeight="1" x14ac:dyDescent="0.25">
      <c r="A16" s="7" t="s">
        <v>78</v>
      </c>
      <c r="B16" s="16">
        <f>Assumptions!B25*B4</f>
        <v>40</v>
      </c>
      <c r="C16" s="16">
        <f>Assumptions!B25*C4</f>
        <v>80</v>
      </c>
      <c r="D16" s="16">
        <f>Assumptions!B25*D4</f>
        <v>120</v>
      </c>
      <c r="E16" s="16">
        <f>Assumptions!B25*E4</f>
        <v>160</v>
      </c>
      <c r="F16" s="16">
        <f>Assumptions!B25*F4</f>
        <v>200</v>
      </c>
      <c r="G16" s="16">
        <f>Assumptions!B25*G4</f>
        <v>240</v>
      </c>
      <c r="H16" s="16">
        <f>Assumptions!B25*H4</f>
        <v>280</v>
      </c>
      <c r="I16" s="16">
        <f>Assumptions!B25*I4</f>
        <v>320</v>
      </c>
      <c r="J16" s="16">
        <f>Assumptions!B25*J4</f>
        <v>360</v>
      </c>
      <c r="K16" s="16">
        <f>Assumptions!B25*K4</f>
        <v>400</v>
      </c>
      <c r="L16" s="16">
        <f>Assumptions!B25*L4</f>
        <v>440</v>
      </c>
      <c r="M16" s="16">
        <f>Assumptions!B25*M4</f>
        <v>480</v>
      </c>
      <c r="N16" s="16">
        <f>Assumptions!B25*N4</f>
        <v>520</v>
      </c>
      <c r="O16" s="16">
        <f>Assumptions!B25*O4</f>
        <v>560</v>
      </c>
      <c r="P16" s="16">
        <f>Assumptions!B25*P4</f>
        <v>600</v>
      </c>
      <c r="Q16" s="16">
        <f>Assumptions!B25*Q4</f>
        <v>640</v>
      </c>
      <c r="R16" s="16">
        <f>Assumptions!B25*R4</f>
        <v>680</v>
      </c>
      <c r="S16" s="16">
        <f>Assumptions!B25*S4</f>
        <v>720</v>
      </c>
      <c r="T16" s="16">
        <f>Assumptions!B25*T4</f>
        <v>760</v>
      </c>
      <c r="U16" s="16">
        <f>Assumptions!B25*U4</f>
        <v>800</v>
      </c>
      <c r="V16" s="16">
        <f>Assumptions!B25*V4</f>
        <v>840</v>
      </c>
      <c r="W16" s="16">
        <f>Assumptions!B25*W4</f>
        <v>880</v>
      </c>
      <c r="X16" s="16">
        <f>Assumptions!B25*X4</f>
        <v>920</v>
      </c>
      <c r="Y16" s="16">
        <f>Assumptions!B25*Y4</f>
        <v>960</v>
      </c>
    </row>
    <row r="17" spans="1:25" ht="15" customHeight="1" x14ac:dyDescent="0.25">
      <c r="A17" s="7" t="s">
        <v>79</v>
      </c>
      <c r="B17" s="16">
        <f>Assumptions!B26*B4</f>
        <v>35</v>
      </c>
      <c r="C17" s="16">
        <f>Assumptions!B26*C4</f>
        <v>70</v>
      </c>
      <c r="D17" s="16">
        <f>Assumptions!B26*D4</f>
        <v>105</v>
      </c>
      <c r="E17" s="16">
        <f>Assumptions!B26*E4</f>
        <v>140</v>
      </c>
      <c r="F17" s="16">
        <f>Assumptions!B26*F4</f>
        <v>175</v>
      </c>
      <c r="G17" s="16">
        <f>Assumptions!B26*G4</f>
        <v>210</v>
      </c>
      <c r="H17" s="16">
        <f>Assumptions!B26*H4</f>
        <v>245</v>
      </c>
      <c r="I17" s="16">
        <f>Assumptions!B26*I4</f>
        <v>280</v>
      </c>
      <c r="J17" s="16">
        <f>Assumptions!B26*J4</f>
        <v>315</v>
      </c>
      <c r="K17" s="16">
        <f>Assumptions!B26*K4</f>
        <v>350</v>
      </c>
      <c r="L17" s="16">
        <f>Assumptions!B26*L4</f>
        <v>385</v>
      </c>
      <c r="M17" s="16">
        <f>Assumptions!B26*M4</f>
        <v>420</v>
      </c>
      <c r="N17" s="16">
        <f>Assumptions!B26*N4</f>
        <v>455</v>
      </c>
      <c r="O17" s="16">
        <f>Assumptions!B26*O4</f>
        <v>490</v>
      </c>
      <c r="P17" s="16">
        <f>Assumptions!B26*P4</f>
        <v>525</v>
      </c>
      <c r="Q17" s="16">
        <f>Assumptions!B26*Q4</f>
        <v>560</v>
      </c>
      <c r="R17" s="16">
        <f>Assumptions!B26*R4</f>
        <v>595</v>
      </c>
      <c r="S17" s="16">
        <f>Assumptions!B26*S4</f>
        <v>630</v>
      </c>
      <c r="T17" s="16">
        <f>Assumptions!B26*T4</f>
        <v>665</v>
      </c>
      <c r="U17" s="16">
        <f>Assumptions!B26*U4</f>
        <v>700</v>
      </c>
      <c r="V17" s="16">
        <f>Assumptions!B26*V4</f>
        <v>735</v>
      </c>
      <c r="W17" s="16">
        <f>Assumptions!B26*W4</f>
        <v>770</v>
      </c>
      <c r="X17" s="16">
        <f>Assumptions!B26*X4</f>
        <v>805</v>
      </c>
      <c r="Y17" s="16">
        <f>Assumptions!B26*Y4</f>
        <v>840</v>
      </c>
    </row>
    <row r="18" spans="1:25" ht="15" customHeight="1" x14ac:dyDescent="0.25">
      <c r="A18" s="7" t="s">
        <v>80</v>
      </c>
      <c r="B18" s="16">
        <f>Assumptions!B27*B4</f>
        <v>45</v>
      </c>
      <c r="C18" s="16">
        <f>Assumptions!B27*C4</f>
        <v>90</v>
      </c>
      <c r="D18" s="16">
        <f>Assumptions!B27*D4</f>
        <v>135</v>
      </c>
      <c r="E18" s="16">
        <f>Assumptions!B27*E4</f>
        <v>180</v>
      </c>
      <c r="F18" s="16">
        <f>Assumptions!B27*F4</f>
        <v>225</v>
      </c>
      <c r="G18" s="16">
        <f>Assumptions!B27*G4</f>
        <v>270</v>
      </c>
      <c r="H18" s="16">
        <f>Assumptions!B27*H4</f>
        <v>315</v>
      </c>
      <c r="I18" s="16">
        <f>Assumptions!B27*I4</f>
        <v>360</v>
      </c>
      <c r="J18" s="16">
        <f>Assumptions!B27*J4</f>
        <v>405</v>
      </c>
      <c r="K18" s="16">
        <f>Assumptions!B27*K4</f>
        <v>450</v>
      </c>
      <c r="L18" s="16">
        <f>Assumptions!B27*L4</f>
        <v>495</v>
      </c>
      <c r="M18" s="16">
        <f>Assumptions!B27*M4</f>
        <v>540</v>
      </c>
      <c r="N18" s="16">
        <f>Assumptions!B27*N4</f>
        <v>585</v>
      </c>
      <c r="O18" s="16">
        <f>Assumptions!B27*O4</f>
        <v>630</v>
      </c>
      <c r="P18" s="16">
        <f>Assumptions!B27*P4</f>
        <v>675</v>
      </c>
      <c r="Q18" s="16">
        <f>Assumptions!B27*Q4</f>
        <v>720</v>
      </c>
      <c r="R18" s="16">
        <f>Assumptions!B27*R4</f>
        <v>765</v>
      </c>
      <c r="S18" s="16">
        <f>Assumptions!B27*S4</f>
        <v>810</v>
      </c>
      <c r="T18" s="16">
        <f>Assumptions!B27*T4</f>
        <v>855</v>
      </c>
      <c r="U18" s="16">
        <f>Assumptions!B27*U4</f>
        <v>900</v>
      </c>
      <c r="V18" s="16">
        <f>Assumptions!B27*V4</f>
        <v>945</v>
      </c>
      <c r="W18" s="16">
        <f>Assumptions!B27*W4</f>
        <v>990</v>
      </c>
      <c r="X18" s="16">
        <f>Assumptions!B27*X4</f>
        <v>1035</v>
      </c>
      <c r="Y18" s="16">
        <f>Assumptions!B27*Y4</f>
        <v>1080</v>
      </c>
    </row>
    <row r="19" spans="1:25" ht="15" customHeight="1" x14ac:dyDescent="0.25">
      <c r="A19" s="14" t="s">
        <v>81</v>
      </c>
      <c r="B19" s="18">
        <f t="shared" ref="B19:Y19" si="1">SUM(B12:B18)</f>
        <v>809</v>
      </c>
      <c r="C19" s="18">
        <f t="shared" si="1"/>
        <v>1618</v>
      </c>
      <c r="D19" s="18">
        <f t="shared" si="1"/>
        <v>2427</v>
      </c>
      <c r="E19" s="18">
        <f t="shared" si="1"/>
        <v>3236</v>
      </c>
      <c r="F19" s="18">
        <f t="shared" si="1"/>
        <v>4045</v>
      </c>
      <c r="G19" s="18">
        <f t="shared" si="1"/>
        <v>4854</v>
      </c>
      <c r="H19" s="18">
        <f t="shared" si="1"/>
        <v>5663</v>
      </c>
      <c r="I19" s="18">
        <f t="shared" si="1"/>
        <v>6472</v>
      </c>
      <c r="J19" s="18">
        <f t="shared" si="1"/>
        <v>7281</v>
      </c>
      <c r="K19" s="18">
        <f t="shared" si="1"/>
        <v>8090</v>
      </c>
      <c r="L19" s="18">
        <f t="shared" si="1"/>
        <v>8899</v>
      </c>
      <c r="M19" s="18">
        <f t="shared" si="1"/>
        <v>9708</v>
      </c>
      <c r="N19" s="18">
        <f t="shared" si="1"/>
        <v>10517</v>
      </c>
      <c r="O19" s="18">
        <f t="shared" si="1"/>
        <v>11326</v>
      </c>
      <c r="P19" s="18">
        <f t="shared" si="1"/>
        <v>12135</v>
      </c>
      <c r="Q19" s="18">
        <f t="shared" si="1"/>
        <v>12944</v>
      </c>
      <c r="R19" s="18">
        <f t="shared" si="1"/>
        <v>13753</v>
      </c>
      <c r="S19" s="18">
        <f t="shared" si="1"/>
        <v>14562</v>
      </c>
      <c r="T19" s="18">
        <f t="shared" si="1"/>
        <v>15371</v>
      </c>
      <c r="U19" s="18">
        <f t="shared" si="1"/>
        <v>16180</v>
      </c>
      <c r="V19" s="18">
        <f t="shared" si="1"/>
        <v>16989</v>
      </c>
      <c r="W19" s="18">
        <f t="shared" si="1"/>
        <v>17798</v>
      </c>
      <c r="X19" s="18">
        <f t="shared" si="1"/>
        <v>18607</v>
      </c>
      <c r="Y19" s="18">
        <f t="shared" si="1"/>
        <v>19416</v>
      </c>
    </row>
    <row r="21" spans="1:25" ht="15" customHeight="1" x14ac:dyDescent="0.25">
      <c r="A21" s="14" t="s">
        <v>82</v>
      </c>
      <c r="B21" s="17">
        <f t="shared" ref="B21:Y21" si="2">B9-B19</f>
        <v>4691</v>
      </c>
      <c r="C21" s="17">
        <f t="shared" si="2"/>
        <v>6882</v>
      </c>
      <c r="D21" s="17">
        <f t="shared" si="2"/>
        <v>9073</v>
      </c>
      <c r="E21" s="17">
        <f t="shared" si="2"/>
        <v>11264</v>
      </c>
      <c r="F21" s="17">
        <f t="shared" si="2"/>
        <v>13455</v>
      </c>
      <c r="G21" s="17">
        <f t="shared" si="2"/>
        <v>15646</v>
      </c>
      <c r="H21" s="17">
        <f t="shared" si="2"/>
        <v>17837</v>
      </c>
      <c r="I21" s="17">
        <f t="shared" si="2"/>
        <v>20028</v>
      </c>
      <c r="J21" s="17">
        <f t="shared" si="2"/>
        <v>22219</v>
      </c>
      <c r="K21" s="17">
        <f t="shared" si="2"/>
        <v>24410</v>
      </c>
      <c r="L21" s="17">
        <f t="shared" si="2"/>
        <v>26601</v>
      </c>
      <c r="M21" s="17">
        <f t="shared" si="2"/>
        <v>28792</v>
      </c>
      <c r="N21" s="17">
        <f t="shared" si="2"/>
        <v>30983</v>
      </c>
      <c r="O21" s="17">
        <f t="shared" si="2"/>
        <v>33174</v>
      </c>
      <c r="P21" s="17">
        <f t="shared" si="2"/>
        <v>35365</v>
      </c>
      <c r="Q21" s="17">
        <f t="shared" si="2"/>
        <v>37556</v>
      </c>
      <c r="R21" s="17">
        <f t="shared" si="2"/>
        <v>39747</v>
      </c>
      <c r="S21" s="17">
        <f t="shared" si="2"/>
        <v>41938</v>
      </c>
      <c r="T21" s="17">
        <f t="shared" si="2"/>
        <v>44129</v>
      </c>
      <c r="U21" s="17">
        <f t="shared" si="2"/>
        <v>46320</v>
      </c>
      <c r="V21" s="17">
        <f t="shared" si="2"/>
        <v>48511</v>
      </c>
      <c r="W21" s="17">
        <f t="shared" si="2"/>
        <v>50702</v>
      </c>
      <c r="X21" s="17">
        <f t="shared" si="2"/>
        <v>52893</v>
      </c>
      <c r="Y21" s="17">
        <f t="shared" si="2"/>
        <v>55084</v>
      </c>
    </row>
    <row r="22" spans="1:25" ht="15" customHeight="1" x14ac:dyDescent="0.25">
      <c r="A22" s="7" t="s">
        <v>83</v>
      </c>
      <c r="B22" s="19">
        <f t="shared" ref="B22:Y22" si="3">IFERROR(B21/B9,0)</f>
        <v>0.85290909090909095</v>
      </c>
      <c r="C22" s="19">
        <f t="shared" si="3"/>
        <v>0.80964705882352939</v>
      </c>
      <c r="D22" s="19">
        <f t="shared" si="3"/>
        <v>0.78895652173913045</v>
      </c>
      <c r="E22" s="19">
        <f t="shared" si="3"/>
        <v>0.77682758620689651</v>
      </c>
      <c r="F22" s="19">
        <f t="shared" si="3"/>
        <v>0.76885714285714291</v>
      </c>
      <c r="G22" s="19">
        <f t="shared" si="3"/>
        <v>0.76321951219512196</v>
      </c>
      <c r="H22" s="19">
        <f t="shared" si="3"/>
        <v>0.7590212765957447</v>
      </c>
      <c r="I22" s="19">
        <f t="shared" si="3"/>
        <v>0.75577358490566038</v>
      </c>
      <c r="J22" s="19">
        <f t="shared" si="3"/>
        <v>0.75318644067796614</v>
      </c>
      <c r="K22" s="19">
        <f t="shared" si="3"/>
        <v>0.75107692307692309</v>
      </c>
      <c r="L22" s="19">
        <f t="shared" si="3"/>
        <v>0.74932394366197186</v>
      </c>
      <c r="M22" s="19">
        <f t="shared" si="3"/>
        <v>0.74784415584415587</v>
      </c>
      <c r="N22" s="19">
        <f t="shared" si="3"/>
        <v>0.74657831325301205</v>
      </c>
      <c r="O22" s="19">
        <f t="shared" si="3"/>
        <v>0.74548314606741573</v>
      </c>
      <c r="P22" s="19">
        <f t="shared" si="3"/>
        <v>0.7445263157894737</v>
      </c>
      <c r="Q22" s="19">
        <f t="shared" si="3"/>
        <v>0.74368316831683168</v>
      </c>
      <c r="R22" s="19">
        <f t="shared" si="3"/>
        <v>0.74293457943925234</v>
      </c>
      <c r="S22" s="19">
        <f t="shared" si="3"/>
        <v>0.74226548672566373</v>
      </c>
      <c r="T22" s="19">
        <f t="shared" si="3"/>
        <v>0.74166386554621844</v>
      </c>
      <c r="U22" s="19">
        <f t="shared" si="3"/>
        <v>0.74112</v>
      </c>
      <c r="V22" s="19">
        <f t="shared" si="3"/>
        <v>0.74062595419847332</v>
      </c>
      <c r="W22" s="19">
        <f t="shared" si="3"/>
        <v>0.74017518248175185</v>
      </c>
      <c r="X22" s="19">
        <f t="shared" si="3"/>
        <v>0.73976223776223782</v>
      </c>
      <c r="Y22" s="19">
        <f t="shared" si="3"/>
        <v>0.73938255033557043</v>
      </c>
    </row>
    <row r="24" spans="1:25" ht="15" customHeight="1" x14ac:dyDescent="0.25">
      <c r="A24" s="6" t="s">
        <v>84</v>
      </c>
    </row>
    <row r="25" spans="1:25" ht="15" customHeight="1" x14ac:dyDescent="0.25">
      <c r="A25" s="7" t="s">
        <v>85</v>
      </c>
      <c r="B25" s="16">
        <f>(Assumptions!B30*Assumptions!B31)/24</f>
        <v>4500</v>
      </c>
      <c r="C25" s="16">
        <f>(Assumptions!B30*Assumptions!B31)/24</f>
        <v>4500</v>
      </c>
      <c r="D25" s="16">
        <f>(Assumptions!B30*Assumptions!B31)/24</f>
        <v>4500</v>
      </c>
      <c r="E25" s="16">
        <f>(Assumptions!B30*Assumptions!B31)/24</f>
        <v>4500</v>
      </c>
      <c r="F25" s="16">
        <f>(Assumptions!B30*Assumptions!B31)/24</f>
        <v>4500</v>
      </c>
      <c r="G25" s="16">
        <f>(Assumptions!B30*Assumptions!B31)/24</f>
        <v>4500</v>
      </c>
      <c r="H25" s="16">
        <f>(Assumptions!B30*Assumptions!B31)/24</f>
        <v>4500</v>
      </c>
      <c r="I25" s="16">
        <f>(Assumptions!B30*Assumptions!B31)/24</f>
        <v>4500</v>
      </c>
      <c r="J25" s="16">
        <f>(Assumptions!B30*Assumptions!B31)/24</f>
        <v>4500</v>
      </c>
      <c r="K25" s="16">
        <f>(Assumptions!B30*Assumptions!B31)/24</f>
        <v>4500</v>
      </c>
      <c r="L25" s="16">
        <f>(Assumptions!B30*Assumptions!B31)/24</f>
        <v>4500</v>
      </c>
      <c r="M25" s="16">
        <f>(Assumptions!B30*Assumptions!B31)/24</f>
        <v>4500</v>
      </c>
      <c r="N25" s="16">
        <f>(Assumptions!B30*Assumptions!B31)/24</f>
        <v>4500</v>
      </c>
      <c r="O25" s="16">
        <f>(Assumptions!B30*Assumptions!B31)/24</f>
        <v>4500</v>
      </c>
      <c r="P25" s="16">
        <f>(Assumptions!B30*Assumptions!B31)/24</f>
        <v>4500</v>
      </c>
      <c r="Q25" s="16">
        <f>(Assumptions!B30*Assumptions!B31)/24</f>
        <v>4500</v>
      </c>
      <c r="R25" s="16">
        <f>(Assumptions!B30*Assumptions!B31)/24</f>
        <v>4500</v>
      </c>
      <c r="S25" s="16">
        <f>(Assumptions!B30*Assumptions!B31)/24</f>
        <v>4500</v>
      </c>
      <c r="T25" s="16">
        <f>(Assumptions!B30*Assumptions!B31)/24</f>
        <v>4500</v>
      </c>
      <c r="U25" s="16">
        <f>(Assumptions!B30*Assumptions!B31)/24</f>
        <v>4500</v>
      </c>
      <c r="V25" s="16">
        <f>(Assumptions!B30*Assumptions!B31)/24</f>
        <v>4500</v>
      </c>
      <c r="W25" s="16">
        <f>(Assumptions!B30*Assumptions!B31)/24</f>
        <v>4500</v>
      </c>
      <c r="X25" s="16">
        <f>(Assumptions!B30*Assumptions!B31)/24</f>
        <v>4500</v>
      </c>
      <c r="Y25" s="16">
        <f>(Assumptions!B30*Assumptions!B31)/24</f>
        <v>4500</v>
      </c>
    </row>
    <row r="27" spans="1:25" ht="15" customHeight="1" x14ac:dyDescent="0.25">
      <c r="A27" s="14" t="s">
        <v>86</v>
      </c>
      <c r="B27" s="20">
        <f t="shared" ref="B27:Y27" si="4">B21-B25</f>
        <v>191</v>
      </c>
      <c r="C27" s="20">
        <f t="shared" si="4"/>
        <v>2382</v>
      </c>
      <c r="D27" s="20">
        <f t="shared" si="4"/>
        <v>4573</v>
      </c>
      <c r="E27" s="20">
        <f t="shared" si="4"/>
        <v>6764</v>
      </c>
      <c r="F27" s="20">
        <f t="shared" si="4"/>
        <v>8955</v>
      </c>
      <c r="G27" s="20">
        <f t="shared" si="4"/>
        <v>11146</v>
      </c>
      <c r="H27" s="20">
        <f t="shared" si="4"/>
        <v>13337</v>
      </c>
      <c r="I27" s="20">
        <f t="shared" si="4"/>
        <v>15528</v>
      </c>
      <c r="J27" s="20">
        <f t="shared" si="4"/>
        <v>17719</v>
      </c>
      <c r="K27" s="20">
        <f t="shared" si="4"/>
        <v>19910</v>
      </c>
      <c r="L27" s="20">
        <f t="shared" si="4"/>
        <v>22101</v>
      </c>
      <c r="M27" s="20">
        <f t="shared" si="4"/>
        <v>24292</v>
      </c>
      <c r="N27" s="20">
        <f t="shared" si="4"/>
        <v>26483</v>
      </c>
      <c r="O27" s="20">
        <f t="shared" si="4"/>
        <v>28674</v>
      </c>
      <c r="P27" s="20">
        <f t="shared" si="4"/>
        <v>30865</v>
      </c>
      <c r="Q27" s="20">
        <f t="shared" si="4"/>
        <v>33056</v>
      </c>
      <c r="R27" s="20">
        <f t="shared" si="4"/>
        <v>35247</v>
      </c>
      <c r="S27" s="20">
        <f t="shared" si="4"/>
        <v>37438</v>
      </c>
      <c r="T27" s="20">
        <f t="shared" si="4"/>
        <v>39629</v>
      </c>
      <c r="U27" s="20">
        <f t="shared" si="4"/>
        <v>41820</v>
      </c>
      <c r="V27" s="20">
        <f t="shared" si="4"/>
        <v>44011</v>
      </c>
      <c r="W27" s="20">
        <f t="shared" si="4"/>
        <v>46202</v>
      </c>
      <c r="X27" s="20">
        <f t="shared" si="4"/>
        <v>48393</v>
      </c>
      <c r="Y27" s="20">
        <f t="shared" si="4"/>
        <v>50584</v>
      </c>
    </row>
    <row r="28" spans="1:25" ht="15" customHeight="1" x14ac:dyDescent="0.25">
      <c r="A28" s="7" t="s">
        <v>87</v>
      </c>
      <c r="B28" s="19">
        <f t="shared" ref="B28:Y28" si="5">IFERROR(B27/B9,0)</f>
        <v>3.4727272727272725E-2</v>
      </c>
      <c r="C28" s="19">
        <f t="shared" si="5"/>
        <v>0.28023529411764708</v>
      </c>
      <c r="D28" s="19">
        <f t="shared" si="5"/>
        <v>0.39765217391304347</v>
      </c>
      <c r="E28" s="19">
        <f t="shared" si="5"/>
        <v>0.46648275862068966</v>
      </c>
      <c r="F28" s="19">
        <f t="shared" si="5"/>
        <v>0.51171428571428568</v>
      </c>
      <c r="G28" s="19">
        <f t="shared" si="5"/>
        <v>0.54370731707317077</v>
      </c>
      <c r="H28" s="19">
        <f t="shared" si="5"/>
        <v>0.56753191489361698</v>
      </c>
      <c r="I28" s="19">
        <f t="shared" si="5"/>
        <v>0.58596226415094343</v>
      </c>
      <c r="J28" s="19">
        <f t="shared" si="5"/>
        <v>0.60064406779661017</v>
      </c>
      <c r="K28" s="19">
        <f t="shared" si="5"/>
        <v>0.61261538461538456</v>
      </c>
      <c r="L28" s="19">
        <f t="shared" si="5"/>
        <v>0.62256338028169012</v>
      </c>
      <c r="M28" s="19">
        <f t="shared" si="5"/>
        <v>0.63096103896103894</v>
      </c>
      <c r="N28" s="19">
        <f t="shared" si="5"/>
        <v>0.638144578313253</v>
      </c>
      <c r="O28" s="19">
        <f t="shared" si="5"/>
        <v>0.64435955056179772</v>
      </c>
      <c r="P28" s="19">
        <f t="shared" si="5"/>
        <v>0.64978947368421047</v>
      </c>
      <c r="Q28" s="19">
        <f t="shared" si="5"/>
        <v>0.6545742574257426</v>
      </c>
      <c r="R28" s="19">
        <f t="shared" si="5"/>
        <v>0.65882242990654205</v>
      </c>
      <c r="S28" s="19">
        <f t="shared" si="5"/>
        <v>0.66261946902654867</v>
      </c>
      <c r="T28" s="19">
        <f t="shared" si="5"/>
        <v>0.66603361344537815</v>
      </c>
      <c r="U28" s="19">
        <f t="shared" si="5"/>
        <v>0.66912000000000005</v>
      </c>
      <c r="V28" s="19">
        <f t="shared" si="5"/>
        <v>0.67192366412213744</v>
      </c>
      <c r="W28" s="19">
        <f t="shared" si="5"/>
        <v>0.67448175182481751</v>
      </c>
      <c r="X28" s="19">
        <f t="shared" si="5"/>
        <v>0.67682517482517479</v>
      </c>
      <c r="Y28" s="19">
        <f t="shared" si="5"/>
        <v>0.67897986577181213</v>
      </c>
    </row>
    <row r="30" spans="1:25" ht="15" customHeight="1" x14ac:dyDescent="0.25">
      <c r="A30" s="6" t="s">
        <v>88</v>
      </c>
    </row>
    <row r="31" spans="1:25" ht="15" customHeight="1" x14ac:dyDescent="0.25">
      <c r="A31" s="14" t="s">
        <v>89</v>
      </c>
      <c r="B31" s="20">
        <f>B27</f>
        <v>191</v>
      </c>
      <c r="C31" s="20">
        <f t="shared" ref="C31:Y31" si="6">B31+C27</f>
        <v>2573</v>
      </c>
      <c r="D31" s="20">
        <f t="shared" si="6"/>
        <v>7146</v>
      </c>
      <c r="E31" s="20">
        <f t="shared" si="6"/>
        <v>13910</v>
      </c>
      <c r="F31" s="20">
        <f t="shared" si="6"/>
        <v>22865</v>
      </c>
      <c r="G31" s="20">
        <f t="shared" si="6"/>
        <v>34011</v>
      </c>
      <c r="H31" s="20">
        <f t="shared" si="6"/>
        <v>47348</v>
      </c>
      <c r="I31" s="20">
        <f t="shared" si="6"/>
        <v>62876</v>
      </c>
      <c r="J31" s="20">
        <f t="shared" si="6"/>
        <v>80595</v>
      </c>
      <c r="K31" s="20">
        <f t="shared" si="6"/>
        <v>100505</v>
      </c>
      <c r="L31" s="20">
        <f t="shared" si="6"/>
        <v>122606</v>
      </c>
      <c r="M31" s="20">
        <f t="shared" si="6"/>
        <v>146898</v>
      </c>
      <c r="N31" s="20">
        <f t="shared" si="6"/>
        <v>173381</v>
      </c>
      <c r="O31" s="20">
        <f t="shared" si="6"/>
        <v>202055</v>
      </c>
      <c r="P31" s="20">
        <f t="shared" si="6"/>
        <v>232920</v>
      </c>
      <c r="Q31" s="20">
        <f t="shared" si="6"/>
        <v>265976</v>
      </c>
      <c r="R31" s="20">
        <f t="shared" si="6"/>
        <v>301223</v>
      </c>
      <c r="S31" s="20">
        <f t="shared" si="6"/>
        <v>338661</v>
      </c>
      <c r="T31" s="20">
        <f t="shared" si="6"/>
        <v>378290</v>
      </c>
      <c r="U31" s="20">
        <f t="shared" si="6"/>
        <v>420110</v>
      </c>
      <c r="V31" s="20">
        <f t="shared" si="6"/>
        <v>464121</v>
      </c>
      <c r="W31" s="20">
        <f t="shared" si="6"/>
        <v>510323</v>
      </c>
      <c r="X31" s="20">
        <f t="shared" si="6"/>
        <v>558716</v>
      </c>
      <c r="Y31" s="20">
        <f t="shared" si="6"/>
        <v>609300</v>
      </c>
    </row>
  </sheetData>
  <mergeCells count="1">
    <mergeCell ref="A1:Z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23"/>
  <sheetViews>
    <sheetView showGridLines="0" zoomScaleNormal="100" workbookViewId="0">
      <pane ySplit="3" topLeftCell="A4" activePane="bottomLeft" state="frozen"/>
      <selection pane="bottomLeft" activeCell="B28" sqref="B28"/>
    </sheetView>
  </sheetViews>
  <sheetFormatPr defaultColWidth="8.7109375" defaultRowHeight="15" x14ac:dyDescent="0.25"/>
  <cols>
    <col min="1" max="1" width="36" customWidth="1"/>
    <col min="2" max="2" width="20" customWidth="1"/>
    <col min="3" max="3" width="12.140625" customWidth="1"/>
    <col min="4" max="6" width="12.85546875" customWidth="1"/>
  </cols>
  <sheetData>
    <row r="1" spans="1:6" ht="36" customHeight="1" x14ac:dyDescent="0.25">
      <c r="A1" s="4" t="s">
        <v>90</v>
      </c>
      <c r="B1" s="4"/>
      <c r="C1" s="4"/>
    </row>
    <row r="3" spans="1:6" ht="15" customHeight="1" x14ac:dyDescent="0.25">
      <c r="A3" s="2" t="s">
        <v>91</v>
      </c>
      <c r="B3" s="2"/>
      <c r="C3" s="2"/>
    </row>
    <row r="4" spans="1:6" ht="15" customHeight="1" x14ac:dyDescent="0.25">
      <c r="A4" s="7" t="s">
        <v>92</v>
      </c>
      <c r="B4" s="20">
        <f>Assumptions!B30*Assumptions!B31</f>
        <v>108000</v>
      </c>
    </row>
    <row r="5" spans="1:6" ht="15" customHeight="1" x14ac:dyDescent="0.25">
      <c r="A5" s="7" t="s">
        <v>93</v>
      </c>
      <c r="B5" s="20">
        <f>'Monthly P&amp;L'!B25</f>
        <v>4500</v>
      </c>
    </row>
    <row r="6" spans="1:6" ht="15" customHeight="1" x14ac:dyDescent="0.25">
      <c r="A6" s="7" t="s">
        <v>94</v>
      </c>
      <c r="B6" s="20">
        <f>Assumptions!B37</f>
        <v>3000</v>
      </c>
    </row>
    <row r="7" spans="1:6" ht="15" customHeight="1" x14ac:dyDescent="0.25">
      <c r="A7" s="7" t="s">
        <v>95</v>
      </c>
      <c r="B7" s="20">
        <f>'Monthly P&amp;L'!B12+'Monthly P&amp;L'!B13+'Monthly P&amp;L'!B14+'Monthly P&amp;L'!B15+'Monthly P&amp;L'!B16+'Monthly P&amp;L'!B17+'Monthly P&amp;L'!B18</f>
        <v>809</v>
      </c>
    </row>
    <row r="9" spans="1:6" ht="15" customHeight="1" x14ac:dyDescent="0.25">
      <c r="A9" s="2" t="s">
        <v>96</v>
      </c>
      <c r="B9" s="2"/>
      <c r="C9" s="2"/>
    </row>
    <row r="10" spans="1:6" ht="15" customHeight="1" x14ac:dyDescent="0.25">
      <c r="A10" s="7" t="s">
        <v>97</v>
      </c>
      <c r="B10" s="21">
        <f>IFERROR(CEILING(('Monthly P&amp;L'!B25)/(Assumptions!B37-('Monthly P&amp;L'!B12+'Monthly P&amp;L'!B13+'Monthly P&amp;L'!B14+'Monthly P&amp;L'!B15+'Monthly P&amp;L'!B16+'Monthly P&amp;L'!B17+'Monthly P&amp;L'!B18)),1),"N/A")</f>
        <v>3</v>
      </c>
      <c r="C10" s="7" t="s">
        <v>98</v>
      </c>
    </row>
    <row r="11" spans="1:6" ht="15" customHeight="1" x14ac:dyDescent="0.25">
      <c r="A11" s="7" t="s">
        <v>99</v>
      </c>
      <c r="B11" s="20">
        <f>Assumptions!B37-('Monthly P&amp;L'!B12+'Monthly P&amp;L'!B13+'Monthly P&amp;L'!B14+'Monthly P&amp;L'!B15+'Monthly P&amp;L'!B16+'Monthly P&amp;L'!B17+'Monthly P&amp;L'!B18)</f>
        <v>2191</v>
      </c>
    </row>
    <row r="12" spans="1:6" ht="15" customHeight="1" x14ac:dyDescent="0.25">
      <c r="A12" s="7" t="s">
        <v>100</v>
      </c>
      <c r="B12" s="22">
        <f>IFERROR((Assumptions!B37-('Monthly P&amp;L'!B12+'Monthly P&amp;L'!B13+'Monthly P&amp;L'!B14+'Monthly P&amp;L'!B15+'Monthly P&amp;L'!B16+'Monthly P&amp;L'!B17+'Monthly P&amp;L'!B18))/Assumptions!B37,0)</f>
        <v>0.73033333333333328</v>
      </c>
    </row>
    <row r="14" spans="1:6" ht="15" customHeight="1" x14ac:dyDescent="0.25">
      <c r="A14" s="2" t="s">
        <v>101</v>
      </c>
      <c r="B14" s="2"/>
      <c r="C14" s="2"/>
    </row>
    <row r="15" spans="1:6" ht="15" customHeight="1" x14ac:dyDescent="0.25">
      <c r="A15" s="5" t="s">
        <v>102</v>
      </c>
      <c r="B15" s="39" t="s">
        <v>103</v>
      </c>
      <c r="C15" s="39" t="s">
        <v>104</v>
      </c>
      <c r="D15" s="39" t="s">
        <v>105</v>
      </c>
      <c r="E15" s="39" t="s">
        <v>106</v>
      </c>
      <c r="F15" s="39" t="s">
        <v>107</v>
      </c>
    </row>
    <row r="16" spans="1:6" ht="15" customHeight="1" x14ac:dyDescent="0.25">
      <c r="A16" s="7" t="s">
        <v>108</v>
      </c>
      <c r="B16" s="16">
        <f>(4000-((Assumptions!B14+Assumptions!B15+Assumptions!B16+Assumptions!B17+Assumptions!B18+Assumptions!B19)*Assumptions!B13+Assumptions!B22+Assumptions!B23+Assumptions!B24+Assumptions!B25+Assumptions!B26+Assumptions!B27))*1-(Assumptions!B30*Assumptions!B31/24)</f>
        <v>-3325</v>
      </c>
      <c r="C16" s="16">
        <f>(4500-((Assumptions!B14+Assumptions!B15+Assumptions!B16+Assumptions!B17+Assumptions!B18+Assumptions!B19)*Assumptions!B13+Assumptions!B22+Assumptions!B23+Assumptions!B24+Assumptions!B25+Assumptions!B26+Assumptions!B27))*1-(Assumptions!B30*Assumptions!B31/24)</f>
        <v>-2825</v>
      </c>
      <c r="D16" s="16">
        <f>(5000-((Assumptions!B14+Assumptions!B15+Assumptions!B16+Assumptions!B17+Assumptions!B18+Assumptions!B19)*Assumptions!B13+Assumptions!B22+Assumptions!B23+Assumptions!B24+Assumptions!B25+Assumptions!B26+Assumptions!B27))*1-(Assumptions!B30*Assumptions!B31/24)</f>
        <v>-2325</v>
      </c>
      <c r="E16" s="16">
        <f>(5500-((Assumptions!B14+Assumptions!B15+Assumptions!B16+Assumptions!B17+Assumptions!B18+Assumptions!B19)*Assumptions!B13+Assumptions!B22+Assumptions!B23+Assumptions!B24+Assumptions!B25+Assumptions!B26+Assumptions!B27))*1-(Assumptions!B30*Assumptions!B31/24)</f>
        <v>-1825</v>
      </c>
      <c r="F16" s="16">
        <f>(6000-((Assumptions!B14+Assumptions!B15+Assumptions!B16+Assumptions!B17+Assumptions!B18+Assumptions!B19)*Assumptions!B13+Assumptions!B22+Assumptions!B23+Assumptions!B24+Assumptions!B25+Assumptions!B26+Assumptions!B27))*1-(Assumptions!B30*Assumptions!B31/24)</f>
        <v>-1325</v>
      </c>
    </row>
    <row r="17" spans="1:6" ht="15" customHeight="1" x14ac:dyDescent="0.25">
      <c r="A17" s="7" t="s">
        <v>109</v>
      </c>
      <c r="B17" s="16">
        <f>(4000-((Assumptions!B14+Assumptions!B15+Assumptions!B16+Assumptions!B17+Assumptions!B18+Assumptions!B19)*Assumptions!B13+Assumptions!B22+Assumptions!B23+Assumptions!B24+Assumptions!B25+Assumptions!B26+Assumptions!B27))*2-(Assumptions!B30*Assumptions!B31/24)</f>
        <v>-2150</v>
      </c>
      <c r="C17" s="16">
        <f>(4500-((Assumptions!B14+Assumptions!B15+Assumptions!B16+Assumptions!B17+Assumptions!B18+Assumptions!B19)*Assumptions!B13+Assumptions!B22+Assumptions!B23+Assumptions!B24+Assumptions!B25+Assumptions!B26+Assumptions!B27))*2-(Assumptions!B30*Assumptions!B31/24)</f>
        <v>-1150</v>
      </c>
      <c r="D17" s="16">
        <f>(5000-((Assumptions!B14+Assumptions!B15+Assumptions!B16+Assumptions!B17+Assumptions!B18+Assumptions!B19)*Assumptions!B13+Assumptions!B22+Assumptions!B23+Assumptions!B24+Assumptions!B25+Assumptions!B26+Assumptions!B27))*2-(Assumptions!B30*Assumptions!B31/24)</f>
        <v>-150</v>
      </c>
      <c r="E17" s="16">
        <f>(5500-((Assumptions!B14+Assumptions!B15+Assumptions!B16+Assumptions!B17+Assumptions!B18+Assumptions!B19)*Assumptions!B13+Assumptions!B22+Assumptions!B23+Assumptions!B24+Assumptions!B25+Assumptions!B26+Assumptions!B27))*2-(Assumptions!B30*Assumptions!B31/24)</f>
        <v>850</v>
      </c>
      <c r="F17" s="16">
        <f>(6000-((Assumptions!B14+Assumptions!B15+Assumptions!B16+Assumptions!B17+Assumptions!B18+Assumptions!B19)*Assumptions!B13+Assumptions!B22+Assumptions!B23+Assumptions!B24+Assumptions!B25+Assumptions!B26+Assumptions!B27))*2-(Assumptions!B30*Assumptions!B31/24)</f>
        <v>1850</v>
      </c>
    </row>
    <row r="18" spans="1:6" ht="15" customHeight="1" x14ac:dyDescent="0.25">
      <c r="A18" s="7" t="s">
        <v>110</v>
      </c>
      <c r="B18" s="16">
        <f>(4000-((Assumptions!B14+Assumptions!B15+Assumptions!B16+Assumptions!B17+Assumptions!B18+Assumptions!B19)*Assumptions!B13+Assumptions!B22+Assumptions!B23+Assumptions!B24+Assumptions!B25+Assumptions!B26+Assumptions!B27))*3-(Assumptions!B30*Assumptions!B31/24)</f>
        <v>-975</v>
      </c>
      <c r="C18" s="16">
        <f>(4500-((Assumptions!B14+Assumptions!B15+Assumptions!B16+Assumptions!B17+Assumptions!B18+Assumptions!B19)*Assumptions!B13+Assumptions!B22+Assumptions!B23+Assumptions!B24+Assumptions!B25+Assumptions!B26+Assumptions!B27))*3-(Assumptions!B30*Assumptions!B31/24)</f>
        <v>525</v>
      </c>
      <c r="D18" s="16">
        <f>(5000-((Assumptions!B14+Assumptions!B15+Assumptions!B16+Assumptions!B17+Assumptions!B18+Assumptions!B19)*Assumptions!B13+Assumptions!B22+Assumptions!B23+Assumptions!B24+Assumptions!B25+Assumptions!B26+Assumptions!B27))*3-(Assumptions!B30*Assumptions!B31/24)</f>
        <v>2025</v>
      </c>
      <c r="E18" s="16">
        <f>(5500-((Assumptions!B14+Assumptions!B15+Assumptions!B16+Assumptions!B17+Assumptions!B18+Assumptions!B19)*Assumptions!B13+Assumptions!B22+Assumptions!B23+Assumptions!B24+Assumptions!B25+Assumptions!B26+Assumptions!B27))*3-(Assumptions!B30*Assumptions!B31/24)</f>
        <v>3525</v>
      </c>
      <c r="F18" s="16">
        <f>(6000-((Assumptions!B14+Assumptions!B15+Assumptions!B16+Assumptions!B17+Assumptions!B18+Assumptions!B19)*Assumptions!B13+Assumptions!B22+Assumptions!B23+Assumptions!B24+Assumptions!B25+Assumptions!B26+Assumptions!B27))*3-(Assumptions!B30*Assumptions!B31/24)</f>
        <v>5025</v>
      </c>
    </row>
    <row r="19" spans="1:6" ht="15" customHeight="1" x14ac:dyDescent="0.25">
      <c r="A19" s="14" t="s">
        <v>111</v>
      </c>
      <c r="B19" s="16">
        <f>(4000-((Assumptions!B14+Assumptions!B15+Assumptions!B16+Assumptions!B17+Assumptions!B18+Assumptions!B19)*Assumptions!B13+Assumptions!B22+Assumptions!B23+Assumptions!B24+Assumptions!B25+Assumptions!B26+Assumptions!B27))*5-(Assumptions!B30*Assumptions!B31/24)</f>
        <v>1375</v>
      </c>
      <c r="C19" s="16">
        <f>(4500-((Assumptions!B14+Assumptions!B15+Assumptions!B16+Assumptions!B17+Assumptions!B18+Assumptions!B19)*Assumptions!B13+Assumptions!B22+Assumptions!B23+Assumptions!B24+Assumptions!B25+Assumptions!B26+Assumptions!B27))*5-(Assumptions!B30*Assumptions!B31/24)</f>
        <v>3875</v>
      </c>
      <c r="D19" s="16">
        <f>(5000-((Assumptions!B14+Assumptions!B15+Assumptions!B16+Assumptions!B17+Assumptions!B18+Assumptions!B19)*Assumptions!B13+Assumptions!B22+Assumptions!B23+Assumptions!B24+Assumptions!B25+Assumptions!B26+Assumptions!B27))*5-(Assumptions!B30*Assumptions!B31/24)</f>
        <v>6375</v>
      </c>
      <c r="E19" s="16">
        <f>(5500-((Assumptions!B14+Assumptions!B15+Assumptions!B16+Assumptions!B17+Assumptions!B18+Assumptions!B19)*Assumptions!B13+Assumptions!B22+Assumptions!B23+Assumptions!B24+Assumptions!B25+Assumptions!B26+Assumptions!B27))*5-(Assumptions!B30*Assumptions!B31/24)</f>
        <v>8875</v>
      </c>
      <c r="F19" s="16">
        <f>(6000-((Assumptions!B14+Assumptions!B15+Assumptions!B16+Assumptions!B17+Assumptions!B18+Assumptions!B19)*Assumptions!B13+Assumptions!B22+Assumptions!B23+Assumptions!B24+Assumptions!B25+Assumptions!B26+Assumptions!B27))*5-(Assumptions!B30*Assumptions!B31/24)</f>
        <v>11375</v>
      </c>
    </row>
    <row r="20" spans="1:6" ht="15" customHeight="1" x14ac:dyDescent="0.25">
      <c r="A20" s="7" t="s">
        <v>112</v>
      </c>
      <c r="B20" s="16">
        <f>(4000-((Assumptions!B14+Assumptions!B15+Assumptions!B16+Assumptions!B17+Assumptions!B18+Assumptions!B19)*Assumptions!B13+Assumptions!B22+Assumptions!B23+Assumptions!B24+Assumptions!B25+Assumptions!B26+Assumptions!B27))*8-(Assumptions!B30*Assumptions!B31/24)</f>
        <v>4900</v>
      </c>
      <c r="C20" s="16">
        <f>(4500-((Assumptions!B14+Assumptions!B15+Assumptions!B16+Assumptions!B17+Assumptions!B18+Assumptions!B19)*Assumptions!B13+Assumptions!B22+Assumptions!B23+Assumptions!B24+Assumptions!B25+Assumptions!B26+Assumptions!B27))*8-(Assumptions!B30*Assumptions!B31/24)</f>
        <v>8900</v>
      </c>
      <c r="D20" s="16">
        <f>(5000-((Assumptions!B14+Assumptions!B15+Assumptions!B16+Assumptions!B17+Assumptions!B18+Assumptions!B19)*Assumptions!B13+Assumptions!B22+Assumptions!B23+Assumptions!B24+Assumptions!B25+Assumptions!B26+Assumptions!B27))*8-(Assumptions!B30*Assumptions!B31/24)</f>
        <v>12900</v>
      </c>
      <c r="E20" s="16">
        <f>(5500-((Assumptions!B14+Assumptions!B15+Assumptions!B16+Assumptions!B17+Assumptions!B18+Assumptions!B19)*Assumptions!B13+Assumptions!B22+Assumptions!B23+Assumptions!B24+Assumptions!B25+Assumptions!B26+Assumptions!B27))*8-(Assumptions!B30*Assumptions!B31/24)</f>
        <v>16900</v>
      </c>
      <c r="F20" s="16">
        <f>(6000-((Assumptions!B14+Assumptions!B15+Assumptions!B16+Assumptions!B17+Assumptions!B18+Assumptions!B19)*Assumptions!B13+Assumptions!B22+Assumptions!B23+Assumptions!B24+Assumptions!B25+Assumptions!B26+Assumptions!B27))*8-(Assumptions!B30*Assumptions!B31/24)</f>
        <v>20900</v>
      </c>
    </row>
    <row r="21" spans="1:6" ht="15" customHeight="1" x14ac:dyDescent="0.25">
      <c r="A21" s="14" t="s">
        <v>113</v>
      </c>
      <c r="B21" s="16">
        <f>(4000-((Assumptions!B14+Assumptions!B15+Assumptions!B16+Assumptions!B17+Assumptions!B18+Assumptions!B19)*Assumptions!B13+Assumptions!B22+Assumptions!B23+Assumptions!B24+Assumptions!B25+Assumptions!B26+Assumptions!B27))*10-(Assumptions!B30*Assumptions!B31/24)</f>
        <v>7250</v>
      </c>
      <c r="C21" s="16">
        <f>(4500-((Assumptions!B14+Assumptions!B15+Assumptions!B16+Assumptions!B17+Assumptions!B18+Assumptions!B19)*Assumptions!B13+Assumptions!B22+Assumptions!B23+Assumptions!B24+Assumptions!B25+Assumptions!B26+Assumptions!B27))*10-(Assumptions!B30*Assumptions!B31/24)</f>
        <v>12250</v>
      </c>
      <c r="D21" s="16">
        <f>(5000-((Assumptions!B14+Assumptions!B15+Assumptions!B16+Assumptions!B17+Assumptions!B18+Assumptions!B19)*Assumptions!B13+Assumptions!B22+Assumptions!B23+Assumptions!B24+Assumptions!B25+Assumptions!B26+Assumptions!B27))*10-(Assumptions!B30*Assumptions!B31/24)</f>
        <v>17250</v>
      </c>
      <c r="E21" s="16">
        <f>(5500-((Assumptions!B14+Assumptions!B15+Assumptions!B16+Assumptions!B17+Assumptions!B18+Assumptions!B19)*Assumptions!B13+Assumptions!B22+Assumptions!B23+Assumptions!B24+Assumptions!B25+Assumptions!B26+Assumptions!B27))*10-(Assumptions!B30*Assumptions!B31/24)</f>
        <v>22250</v>
      </c>
      <c r="F21" s="16">
        <f>(6000-((Assumptions!B14+Assumptions!B15+Assumptions!B16+Assumptions!B17+Assumptions!B18+Assumptions!B19)*Assumptions!B13+Assumptions!B22+Assumptions!B23+Assumptions!B24+Assumptions!B25+Assumptions!B26+Assumptions!B27))*10-(Assumptions!B30*Assumptions!B31/24)</f>
        <v>27250</v>
      </c>
    </row>
    <row r="22" spans="1:6" ht="15" customHeight="1" x14ac:dyDescent="0.25">
      <c r="A22" s="7" t="s">
        <v>114</v>
      </c>
      <c r="B22" s="16">
        <f>(4000-((Assumptions!B14+Assumptions!B15+Assumptions!B16+Assumptions!B17+Assumptions!B18+Assumptions!B19)*Assumptions!B13+Assumptions!B22+Assumptions!B23+Assumptions!B24+Assumptions!B25+Assumptions!B26+Assumptions!B27))*15-(Assumptions!B30*Assumptions!B31/24)</f>
        <v>13125</v>
      </c>
      <c r="C22" s="16">
        <f>(4500-((Assumptions!B14+Assumptions!B15+Assumptions!B16+Assumptions!B17+Assumptions!B18+Assumptions!B19)*Assumptions!B13+Assumptions!B22+Assumptions!B23+Assumptions!B24+Assumptions!B25+Assumptions!B26+Assumptions!B27))*15-(Assumptions!B30*Assumptions!B31/24)</f>
        <v>20625</v>
      </c>
      <c r="D22" s="16">
        <f>(5000-((Assumptions!B14+Assumptions!B15+Assumptions!B16+Assumptions!B17+Assumptions!B18+Assumptions!B19)*Assumptions!B13+Assumptions!B22+Assumptions!B23+Assumptions!B24+Assumptions!B25+Assumptions!B26+Assumptions!B27))*15-(Assumptions!B30*Assumptions!B31/24)</f>
        <v>28125</v>
      </c>
      <c r="E22" s="16">
        <f>(5500-((Assumptions!B14+Assumptions!B15+Assumptions!B16+Assumptions!B17+Assumptions!B18+Assumptions!B19)*Assumptions!B13+Assumptions!B22+Assumptions!B23+Assumptions!B24+Assumptions!B25+Assumptions!B26+Assumptions!B27))*15-(Assumptions!B30*Assumptions!B31/24)</f>
        <v>35625</v>
      </c>
      <c r="F22" s="16">
        <f>(6000-((Assumptions!B14+Assumptions!B15+Assumptions!B16+Assumptions!B17+Assumptions!B18+Assumptions!B19)*Assumptions!B13+Assumptions!B22+Assumptions!B23+Assumptions!B24+Assumptions!B25+Assumptions!B26+Assumptions!B27))*15-(Assumptions!B30*Assumptions!B31/24)</f>
        <v>43125</v>
      </c>
    </row>
    <row r="23" spans="1:6" ht="15" customHeight="1" x14ac:dyDescent="0.25">
      <c r="A23" s="14" t="s">
        <v>115</v>
      </c>
      <c r="B23" s="16">
        <f>(4000-((Assumptions!B14+Assumptions!B15+Assumptions!B16+Assumptions!B17+Assumptions!B18+Assumptions!B19)*Assumptions!B13+Assumptions!B22+Assumptions!B23+Assumptions!B24+Assumptions!B25+Assumptions!B26+Assumptions!B27))*20-(Assumptions!B30*Assumptions!B31/24)</f>
        <v>19000</v>
      </c>
      <c r="C23" s="16">
        <f>(4500-((Assumptions!B14+Assumptions!B15+Assumptions!B16+Assumptions!B17+Assumptions!B18+Assumptions!B19)*Assumptions!B13+Assumptions!B22+Assumptions!B23+Assumptions!B24+Assumptions!B25+Assumptions!B26+Assumptions!B27))*20-(Assumptions!B30*Assumptions!B31/24)</f>
        <v>29000</v>
      </c>
      <c r="D23" s="16">
        <f>(5000-((Assumptions!B14+Assumptions!B15+Assumptions!B16+Assumptions!B17+Assumptions!B18+Assumptions!B19)*Assumptions!B13+Assumptions!B22+Assumptions!B23+Assumptions!B24+Assumptions!B25+Assumptions!B26+Assumptions!B27))*20-(Assumptions!B30*Assumptions!B31/24)</f>
        <v>39000</v>
      </c>
      <c r="E23" s="16">
        <f>(5500-((Assumptions!B14+Assumptions!B15+Assumptions!B16+Assumptions!B17+Assumptions!B18+Assumptions!B19)*Assumptions!B13+Assumptions!B22+Assumptions!B23+Assumptions!B24+Assumptions!B25+Assumptions!B26+Assumptions!B27))*20-(Assumptions!B30*Assumptions!B31/24)</f>
        <v>49000</v>
      </c>
      <c r="F23" s="16">
        <f>(6000-((Assumptions!B14+Assumptions!B15+Assumptions!B16+Assumptions!B17+Assumptions!B18+Assumptions!B19)*Assumptions!B13+Assumptions!B22+Assumptions!B23+Assumptions!B24+Assumptions!B25+Assumptions!B26+Assumptions!B27))*20-(Assumptions!B30*Assumptions!B31/24)</f>
        <v>59000</v>
      </c>
    </row>
  </sheetData>
  <mergeCells count="4">
    <mergeCell ref="A1:C1"/>
    <mergeCell ref="A3:C3"/>
    <mergeCell ref="A9:C9"/>
    <mergeCell ref="A14:C14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D7D31"/>
  </sheetPr>
  <dimension ref="A1:F31"/>
  <sheetViews>
    <sheetView showGridLines="0" zoomScaleNormal="100" workbookViewId="0">
      <pane ySplit="2" topLeftCell="A3" activePane="bottomLeft" state="frozen"/>
      <selection pane="bottomLeft" sqref="A1:F1"/>
    </sheetView>
  </sheetViews>
  <sheetFormatPr defaultColWidth="8.7109375" defaultRowHeight="15" x14ac:dyDescent="0.25"/>
  <cols>
    <col min="1" max="1" width="5" customWidth="1"/>
    <col min="2" max="2" width="38" customWidth="1"/>
    <col min="3" max="3" width="18" customWidth="1"/>
    <col min="4" max="5" width="14" customWidth="1"/>
    <col min="6" max="6" width="30" customWidth="1"/>
  </cols>
  <sheetData>
    <row r="1" spans="1:6" ht="36" customHeight="1" x14ac:dyDescent="0.25">
      <c r="A1" s="4" t="s">
        <v>116</v>
      </c>
      <c r="B1" s="4"/>
      <c r="C1" s="4"/>
      <c r="D1" s="4"/>
      <c r="E1" s="4"/>
      <c r="F1" s="4"/>
    </row>
    <row r="2" spans="1:6" ht="15" customHeight="1" x14ac:dyDescent="0.25">
      <c r="A2" s="5" t="s">
        <v>117</v>
      </c>
      <c r="B2" s="13" t="s">
        <v>118</v>
      </c>
      <c r="C2" s="5" t="s">
        <v>119</v>
      </c>
      <c r="D2" s="5" t="s">
        <v>120</v>
      </c>
      <c r="E2" s="5" t="s">
        <v>121</v>
      </c>
      <c r="F2" s="13" t="s">
        <v>122</v>
      </c>
    </row>
    <row r="3" spans="1:6" ht="15" customHeight="1" x14ac:dyDescent="0.25">
      <c r="A3" s="23">
        <v>1</v>
      </c>
      <c r="B3" s="7" t="s">
        <v>123</v>
      </c>
      <c r="C3" s="7" t="s">
        <v>124</v>
      </c>
      <c r="D3" s="10">
        <v>80</v>
      </c>
      <c r="E3" s="24">
        <f>D3*Assumptions!B31</f>
        <v>7200</v>
      </c>
      <c r="F3" s="7"/>
    </row>
    <row r="4" spans="1:6" ht="15" customHeight="1" x14ac:dyDescent="0.25">
      <c r="A4" s="25">
        <v>2</v>
      </c>
      <c r="B4" s="26" t="s">
        <v>125</v>
      </c>
      <c r="C4" s="26" t="s">
        <v>124</v>
      </c>
      <c r="D4" s="27">
        <v>40</v>
      </c>
      <c r="E4" s="28">
        <f>D4*Assumptions!B31</f>
        <v>3600</v>
      </c>
      <c r="F4" s="26" t="s">
        <v>126</v>
      </c>
    </row>
    <row r="5" spans="1:6" ht="15" customHeight="1" x14ac:dyDescent="0.25">
      <c r="A5" s="23">
        <v>3</v>
      </c>
      <c r="B5" s="7" t="s">
        <v>127</v>
      </c>
      <c r="C5" s="7" t="s">
        <v>124</v>
      </c>
      <c r="D5" s="10">
        <v>40</v>
      </c>
      <c r="E5" s="24">
        <f>D5*Assumptions!B31</f>
        <v>3600</v>
      </c>
      <c r="F5" s="7" t="s">
        <v>126</v>
      </c>
    </row>
    <row r="6" spans="1:6" ht="15" customHeight="1" x14ac:dyDescent="0.25">
      <c r="A6" s="25">
        <v>4</v>
      </c>
      <c r="B6" s="26" t="s">
        <v>128</v>
      </c>
      <c r="C6" s="26" t="s">
        <v>124</v>
      </c>
      <c r="D6" s="27">
        <v>30</v>
      </c>
      <c r="E6" s="28">
        <f>D6*Assumptions!B31</f>
        <v>2700</v>
      </c>
      <c r="F6" s="26" t="s">
        <v>129</v>
      </c>
    </row>
    <row r="7" spans="1:6" ht="15" customHeight="1" x14ac:dyDescent="0.25">
      <c r="A7" s="23">
        <v>5</v>
      </c>
      <c r="B7" s="7" t="s">
        <v>130</v>
      </c>
      <c r="C7" s="7" t="s">
        <v>124</v>
      </c>
      <c r="D7" s="10">
        <v>35</v>
      </c>
      <c r="E7" s="24">
        <f>D7*Assumptions!B31</f>
        <v>3150</v>
      </c>
      <c r="F7" s="7"/>
    </row>
    <row r="8" spans="1:6" ht="15" customHeight="1" x14ac:dyDescent="0.25">
      <c r="A8" s="25">
        <v>6</v>
      </c>
      <c r="B8" s="26" t="s">
        <v>131</v>
      </c>
      <c r="C8" s="26" t="s">
        <v>124</v>
      </c>
      <c r="D8" s="27">
        <v>25</v>
      </c>
      <c r="E8" s="28">
        <f>D8*Assumptions!B31</f>
        <v>2250</v>
      </c>
      <c r="F8" s="26"/>
    </row>
    <row r="9" spans="1:6" ht="15" customHeight="1" x14ac:dyDescent="0.25">
      <c r="A9" s="23">
        <v>7</v>
      </c>
      <c r="B9" s="7" t="s">
        <v>132</v>
      </c>
      <c r="C9" s="7" t="s">
        <v>124</v>
      </c>
      <c r="D9" s="10">
        <v>20</v>
      </c>
      <c r="E9" s="24">
        <f>D9*Assumptions!B31</f>
        <v>1800</v>
      </c>
      <c r="F9" s="7"/>
    </row>
    <row r="10" spans="1:6" ht="15" customHeight="1" x14ac:dyDescent="0.25">
      <c r="A10" s="25">
        <v>8</v>
      </c>
      <c r="B10" s="26" t="s">
        <v>133</v>
      </c>
      <c r="C10" s="26" t="s">
        <v>124</v>
      </c>
      <c r="D10" s="27">
        <v>30</v>
      </c>
      <c r="E10" s="28">
        <f>D10*Assumptions!B31</f>
        <v>2700</v>
      </c>
      <c r="F10" s="26"/>
    </row>
    <row r="11" spans="1:6" ht="15" customHeight="1" x14ac:dyDescent="0.25">
      <c r="A11" s="23">
        <v>9</v>
      </c>
      <c r="B11" s="7" t="s">
        <v>134</v>
      </c>
      <c r="C11" s="7" t="s">
        <v>124</v>
      </c>
      <c r="D11" s="10">
        <v>60</v>
      </c>
      <c r="E11" s="24">
        <f>D11*Assumptions!B31</f>
        <v>5400</v>
      </c>
      <c r="F11" s="29" t="s">
        <v>135</v>
      </c>
    </row>
    <row r="12" spans="1:6" ht="15" customHeight="1" x14ac:dyDescent="0.25">
      <c r="A12" s="25">
        <v>10</v>
      </c>
      <c r="B12" s="26" t="s">
        <v>136</v>
      </c>
      <c r="C12" s="26" t="s">
        <v>124</v>
      </c>
      <c r="D12" s="27">
        <v>40</v>
      </c>
      <c r="E12" s="28">
        <f>D12*Assumptions!B31</f>
        <v>3600</v>
      </c>
      <c r="F12" s="26" t="s">
        <v>137</v>
      </c>
    </row>
    <row r="13" spans="1:6" ht="15" customHeight="1" x14ac:dyDescent="0.25">
      <c r="A13" s="23">
        <v>11</v>
      </c>
      <c r="B13" s="7" t="s">
        <v>138</v>
      </c>
      <c r="C13" s="7" t="s">
        <v>139</v>
      </c>
      <c r="D13" s="10">
        <v>50</v>
      </c>
      <c r="E13" s="24">
        <f>D13*Assumptions!B31</f>
        <v>4500</v>
      </c>
      <c r="F13" s="29" t="s">
        <v>140</v>
      </c>
    </row>
    <row r="14" spans="1:6" ht="15" customHeight="1" x14ac:dyDescent="0.25">
      <c r="A14" s="25">
        <v>12</v>
      </c>
      <c r="B14" s="26" t="s">
        <v>141</v>
      </c>
      <c r="C14" s="26" t="s">
        <v>139</v>
      </c>
      <c r="D14" s="27">
        <v>35</v>
      </c>
      <c r="E14" s="28">
        <f>D14*Assumptions!B31</f>
        <v>3150</v>
      </c>
      <c r="F14" s="26"/>
    </row>
    <row r="15" spans="1:6" ht="15" customHeight="1" x14ac:dyDescent="0.25">
      <c r="A15" s="23">
        <v>13</v>
      </c>
      <c r="B15" s="7" t="s">
        <v>142</v>
      </c>
      <c r="C15" s="7" t="s">
        <v>143</v>
      </c>
      <c r="D15" s="10">
        <v>80</v>
      </c>
      <c r="E15" s="24">
        <f>D15*Assumptions!B31</f>
        <v>7200</v>
      </c>
      <c r="F15" s="7"/>
    </row>
    <row r="16" spans="1:6" ht="15" customHeight="1" x14ac:dyDescent="0.25">
      <c r="A16" s="25">
        <v>14</v>
      </c>
      <c r="B16" s="26" t="s">
        <v>144</v>
      </c>
      <c r="C16" s="26" t="s">
        <v>143</v>
      </c>
      <c r="D16" s="27">
        <v>60</v>
      </c>
      <c r="E16" s="28">
        <f>D16*Assumptions!B31</f>
        <v>5400</v>
      </c>
      <c r="F16" s="26" t="s">
        <v>145</v>
      </c>
    </row>
    <row r="17" spans="1:6" ht="15" customHeight="1" x14ac:dyDescent="0.25">
      <c r="A17" s="23">
        <v>15</v>
      </c>
      <c r="B17" s="7" t="s">
        <v>146</v>
      </c>
      <c r="C17" s="7" t="s">
        <v>143</v>
      </c>
      <c r="D17" s="10">
        <v>40</v>
      </c>
      <c r="E17" s="24">
        <f>D17*Assumptions!B31</f>
        <v>3600</v>
      </c>
      <c r="F17" s="7"/>
    </row>
    <row r="18" spans="1:6" ht="15" customHeight="1" x14ac:dyDescent="0.25">
      <c r="A18" s="25">
        <v>16</v>
      </c>
      <c r="B18" s="26" t="s">
        <v>147</v>
      </c>
      <c r="C18" s="26" t="s">
        <v>143</v>
      </c>
      <c r="D18" s="27">
        <v>35</v>
      </c>
      <c r="E18" s="28">
        <f>D18*Assumptions!B31</f>
        <v>3150</v>
      </c>
      <c r="F18" s="26"/>
    </row>
    <row r="19" spans="1:6" ht="15" customHeight="1" x14ac:dyDescent="0.25">
      <c r="A19" s="23">
        <v>17</v>
      </c>
      <c r="B19" s="7" t="s">
        <v>148</v>
      </c>
      <c r="C19" s="7" t="s">
        <v>143</v>
      </c>
      <c r="D19" s="10">
        <v>35</v>
      </c>
      <c r="E19" s="24">
        <f>D19*Assumptions!B31</f>
        <v>3150</v>
      </c>
      <c r="F19" s="7"/>
    </row>
    <row r="20" spans="1:6" ht="15" customHeight="1" x14ac:dyDescent="0.25">
      <c r="A20" s="25">
        <v>18</v>
      </c>
      <c r="B20" s="26" t="s">
        <v>149</v>
      </c>
      <c r="C20" s="26" t="s">
        <v>143</v>
      </c>
      <c r="D20" s="27">
        <v>50</v>
      </c>
      <c r="E20" s="28">
        <f>D20*Assumptions!B31</f>
        <v>4500</v>
      </c>
      <c r="F20" s="26" t="s">
        <v>150</v>
      </c>
    </row>
    <row r="21" spans="1:6" ht="15" customHeight="1" x14ac:dyDescent="0.25">
      <c r="A21" s="23">
        <v>19</v>
      </c>
      <c r="B21" s="7" t="s">
        <v>151</v>
      </c>
      <c r="C21" s="7" t="s">
        <v>143</v>
      </c>
      <c r="D21" s="10">
        <v>35</v>
      </c>
      <c r="E21" s="24">
        <f>D21*Assumptions!B31</f>
        <v>3150</v>
      </c>
      <c r="F21" s="7"/>
    </row>
    <row r="22" spans="1:6" ht="15" customHeight="1" x14ac:dyDescent="0.25">
      <c r="A22" s="25">
        <v>20</v>
      </c>
      <c r="B22" s="26" t="s">
        <v>152</v>
      </c>
      <c r="C22" s="26" t="s">
        <v>143</v>
      </c>
      <c r="D22" s="27">
        <v>80</v>
      </c>
      <c r="E22" s="28">
        <f>D22*Assumptions!B31</f>
        <v>7200</v>
      </c>
      <c r="F22" s="26" t="s">
        <v>153</v>
      </c>
    </row>
    <row r="23" spans="1:6" ht="15" customHeight="1" x14ac:dyDescent="0.25">
      <c r="A23" s="23">
        <v>21</v>
      </c>
      <c r="B23" s="7" t="s">
        <v>154</v>
      </c>
      <c r="C23" s="7" t="s">
        <v>143</v>
      </c>
      <c r="D23" s="10">
        <v>100</v>
      </c>
      <c r="E23" s="24">
        <f>D23*Assumptions!B31</f>
        <v>9000</v>
      </c>
      <c r="F23" s="29" t="s">
        <v>155</v>
      </c>
    </row>
    <row r="24" spans="1:6" ht="15" customHeight="1" x14ac:dyDescent="0.25">
      <c r="A24" s="25">
        <v>22</v>
      </c>
      <c r="B24" s="26" t="s">
        <v>156</v>
      </c>
      <c r="C24" s="26" t="s">
        <v>157</v>
      </c>
      <c r="D24" s="27">
        <v>60</v>
      </c>
      <c r="E24" s="28">
        <f>D24*Assumptions!B31</f>
        <v>5400</v>
      </c>
      <c r="F24" s="26" t="s">
        <v>158</v>
      </c>
    </row>
    <row r="25" spans="1:6" ht="15" customHeight="1" x14ac:dyDescent="0.25">
      <c r="A25" s="23">
        <v>23</v>
      </c>
      <c r="B25" s="7" t="s">
        <v>159</v>
      </c>
      <c r="C25" s="7" t="s">
        <v>160</v>
      </c>
      <c r="D25" s="10">
        <v>50</v>
      </c>
      <c r="E25" s="24">
        <f>D25*Assumptions!B31</f>
        <v>4500</v>
      </c>
      <c r="F25" s="7" t="s">
        <v>161</v>
      </c>
    </row>
    <row r="26" spans="1:6" ht="15" customHeight="1" x14ac:dyDescent="0.25">
      <c r="A26" s="25">
        <v>24</v>
      </c>
      <c r="B26" s="26" t="s">
        <v>162</v>
      </c>
      <c r="C26" s="26" t="s">
        <v>163</v>
      </c>
      <c r="D26" s="27">
        <v>20</v>
      </c>
      <c r="E26" s="28">
        <f>D26*Assumptions!B31</f>
        <v>1800</v>
      </c>
      <c r="F26" s="26"/>
    </row>
    <row r="27" spans="1:6" ht="15" customHeight="1" x14ac:dyDescent="0.25">
      <c r="A27" s="23">
        <v>25</v>
      </c>
      <c r="B27" s="7" t="s">
        <v>164</v>
      </c>
      <c r="C27" s="7" t="s">
        <v>163</v>
      </c>
      <c r="D27" s="10">
        <v>20</v>
      </c>
      <c r="E27" s="24">
        <f>D27*Assumptions!B31</f>
        <v>1800</v>
      </c>
      <c r="F27" s="7"/>
    </row>
    <row r="28" spans="1:6" ht="15" customHeight="1" x14ac:dyDescent="0.25">
      <c r="A28" s="25">
        <v>26</v>
      </c>
      <c r="B28" s="26" t="s">
        <v>165</v>
      </c>
      <c r="C28" s="26" t="s">
        <v>163</v>
      </c>
      <c r="D28" s="27">
        <v>20</v>
      </c>
      <c r="E28" s="28">
        <f>D28*Assumptions!B31</f>
        <v>1800</v>
      </c>
      <c r="F28" s="26"/>
    </row>
    <row r="29" spans="1:6" ht="15" customHeight="1" x14ac:dyDescent="0.25">
      <c r="B29" s="30" t="s">
        <v>166</v>
      </c>
      <c r="D29" s="15">
        <f>SUM(D3:D28)</f>
        <v>1170</v>
      </c>
      <c r="E29" s="31">
        <f>SUM(E3:E28)</f>
        <v>105300</v>
      </c>
    </row>
    <row r="31" spans="1:6" ht="15" customHeight="1" x14ac:dyDescent="0.25">
      <c r="A31" s="1" t="s">
        <v>167</v>
      </c>
      <c r="B31" s="1"/>
      <c r="C31" s="1"/>
      <c r="D31" s="1"/>
      <c r="E31" s="1"/>
      <c r="F31" s="1"/>
    </row>
  </sheetData>
  <mergeCells count="2">
    <mergeCell ref="A1:F1"/>
    <mergeCell ref="A31:F3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E12"/>
  <sheetViews>
    <sheetView showGridLines="0" zoomScaleNormal="100" workbookViewId="0">
      <pane ySplit="2" topLeftCell="A3" activePane="bottomLeft" state="frozen"/>
      <selection pane="bottomLeft" activeCell="C4" sqref="C4"/>
    </sheetView>
  </sheetViews>
  <sheetFormatPr defaultColWidth="8.7109375" defaultRowHeight="15" x14ac:dyDescent="0.25"/>
  <cols>
    <col min="1" max="1" width="5" customWidth="1"/>
    <col min="2" max="2" width="45" customWidth="1"/>
    <col min="3" max="3" width="20" customWidth="1"/>
    <col min="4" max="4" width="35" customWidth="1"/>
    <col min="5" max="5" width="15" customWidth="1"/>
  </cols>
  <sheetData>
    <row r="1" spans="1:5" ht="36" customHeight="1" x14ac:dyDescent="0.25">
      <c r="A1" s="4" t="s">
        <v>168</v>
      </c>
      <c r="B1" s="4"/>
      <c r="C1" s="4"/>
      <c r="D1" s="4"/>
      <c r="E1" s="4"/>
    </row>
    <row r="2" spans="1:5" ht="15" customHeight="1" x14ac:dyDescent="0.25">
      <c r="A2" s="5" t="s">
        <v>117</v>
      </c>
      <c r="B2" s="13" t="s">
        <v>169</v>
      </c>
      <c r="C2" s="5" t="s">
        <v>170</v>
      </c>
      <c r="D2" s="13" t="s">
        <v>171</v>
      </c>
      <c r="E2" s="5" t="s">
        <v>172</v>
      </c>
    </row>
    <row r="3" spans="1:5" ht="30" customHeight="1" x14ac:dyDescent="0.25">
      <c r="A3" s="23">
        <v>1</v>
      </c>
      <c r="B3" s="32" t="s">
        <v>173</v>
      </c>
      <c r="C3" s="7" t="s">
        <v>174</v>
      </c>
      <c r="D3" s="33" t="s">
        <v>175</v>
      </c>
      <c r="E3" s="34" t="s">
        <v>176</v>
      </c>
    </row>
    <row r="4" spans="1:5" ht="30" customHeight="1" x14ac:dyDescent="0.25">
      <c r="A4" s="25">
        <v>2</v>
      </c>
      <c r="B4" s="35" t="s">
        <v>177</v>
      </c>
      <c r="C4" s="26" t="s">
        <v>178</v>
      </c>
      <c r="D4" s="36" t="s">
        <v>179</v>
      </c>
      <c r="E4" s="37" t="s">
        <v>176</v>
      </c>
    </row>
    <row r="5" spans="1:5" ht="30" customHeight="1" x14ac:dyDescent="0.25">
      <c r="A5" s="23">
        <v>3</v>
      </c>
      <c r="B5" s="32" t="s">
        <v>180</v>
      </c>
      <c r="C5" s="7" t="s">
        <v>178</v>
      </c>
      <c r="D5" s="33" t="s">
        <v>181</v>
      </c>
      <c r="E5" s="34" t="s">
        <v>176</v>
      </c>
    </row>
    <row r="6" spans="1:5" ht="30" customHeight="1" x14ac:dyDescent="0.25">
      <c r="A6" s="25">
        <v>4</v>
      </c>
      <c r="B6" s="35" t="s">
        <v>182</v>
      </c>
      <c r="C6" s="26" t="s">
        <v>178</v>
      </c>
      <c r="D6" s="36" t="s">
        <v>183</v>
      </c>
      <c r="E6" s="37" t="s">
        <v>176</v>
      </c>
    </row>
    <row r="7" spans="1:5" ht="30" customHeight="1" x14ac:dyDescent="0.25">
      <c r="A7" s="23">
        <v>5</v>
      </c>
      <c r="B7" s="32" t="s">
        <v>184</v>
      </c>
      <c r="C7" s="7" t="s">
        <v>185</v>
      </c>
      <c r="D7" s="33" t="s">
        <v>186</v>
      </c>
      <c r="E7" s="34" t="s">
        <v>176</v>
      </c>
    </row>
    <row r="8" spans="1:5" ht="30" customHeight="1" x14ac:dyDescent="0.25">
      <c r="A8" s="25">
        <v>6</v>
      </c>
      <c r="B8" s="35" t="s">
        <v>187</v>
      </c>
      <c r="C8" s="26" t="s">
        <v>188</v>
      </c>
      <c r="D8" s="36" t="s">
        <v>189</v>
      </c>
      <c r="E8" s="37" t="s">
        <v>176</v>
      </c>
    </row>
    <row r="9" spans="1:5" ht="30" customHeight="1" x14ac:dyDescent="0.25">
      <c r="A9" s="23">
        <v>7</v>
      </c>
      <c r="B9" s="32" t="s">
        <v>190</v>
      </c>
      <c r="C9" s="7" t="s">
        <v>178</v>
      </c>
      <c r="D9" s="33" t="s">
        <v>191</v>
      </c>
      <c r="E9" s="34" t="s">
        <v>176</v>
      </c>
    </row>
    <row r="10" spans="1:5" ht="30" customHeight="1" x14ac:dyDescent="0.25">
      <c r="A10" s="25">
        <v>8</v>
      </c>
      <c r="B10" s="35" t="s">
        <v>192</v>
      </c>
      <c r="C10" s="26" t="s">
        <v>193</v>
      </c>
      <c r="D10" s="36" t="s">
        <v>194</v>
      </c>
      <c r="E10" s="37" t="s">
        <v>176</v>
      </c>
    </row>
    <row r="11" spans="1:5" ht="30" customHeight="1" x14ac:dyDescent="0.25">
      <c r="A11" s="23">
        <v>9</v>
      </c>
      <c r="B11" s="32" t="s">
        <v>195</v>
      </c>
      <c r="C11" s="7" t="s">
        <v>193</v>
      </c>
      <c r="D11" s="33" t="s">
        <v>196</v>
      </c>
      <c r="E11" s="34" t="s">
        <v>176</v>
      </c>
    </row>
    <row r="12" spans="1:5" ht="30" customHeight="1" x14ac:dyDescent="0.25">
      <c r="A12" s="25">
        <v>10</v>
      </c>
      <c r="B12" s="35" t="s">
        <v>197</v>
      </c>
      <c r="C12" s="26" t="s">
        <v>193</v>
      </c>
      <c r="D12" s="36" t="s">
        <v>198</v>
      </c>
      <c r="E12" s="37" t="s">
        <v>176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E13"/>
  <sheetViews>
    <sheetView showGridLines="0" tabSelected="1" zoomScaleNormal="100" workbookViewId="0">
      <pane ySplit="2" topLeftCell="A3" activePane="bottomLeft" state="frozen"/>
      <selection pane="bottomLeft" activeCell="B25" sqref="B25"/>
    </sheetView>
  </sheetViews>
  <sheetFormatPr defaultColWidth="8.7109375" defaultRowHeight="15" x14ac:dyDescent="0.25"/>
  <cols>
    <col min="1" max="1" width="46.7109375" bestFit="1" customWidth="1"/>
    <col min="2" max="2" width="14.28515625" customWidth="1"/>
    <col min="3" max="4" width="15" customWidth="1"/>
    <col min="5" max="5" width="35" customWidth="1"/>
  </cols>
  <sheetData>
    <row r="1" spans="1:5" ht="36" customHeight="1" x14ac:dyDescent="0.25">
      <c r="A1" s="4" t="s">
        <v>199</v>
      </c>
      <c r="B1" s="4"/>
      <c r="C1" s="4"/>
      <c r="D1" s="4"/>
      <c r="E1" s="4"/>
    </row>
    <row r="2" spans="1:5" ht="15" customHeight="1" x14ac:dyDescent="0.25">
      <c r="A2" s="13" t="s">
        <v>200</v>
      </c>
      <c r="B2" s="5" t="s">
        <v>201</v>
      </c>
      <c r="C2" s="5" t="s">
        <v>202</v>
      </c>
      <c r="D2" s="5" t="s">
        <v>203</v>
      </c>
      <c r="E2" s="13" t="s">
        <v>204</v>
      </c>
    </row>
    <row r="3" spans="1:5" ht="15" customHeight="1" x14ac:dyDescent="0.25">
      <c r="A3" s="7" t="s">
        <v>205</v>
      </c>
      <c r="B3" s="24">
        <f>(Assumptions!B14+Assumptions!B15+Assumptions!B16+Assumptions!B17+Assumptions!B18+Assumptions!B19)*Assumptions!B13</f>
        <v>2550</v>
      </c>
      <c r="C3" s="16">
        <f t="shared" ref="C3:C10" si="0">B3*5</f>
        <v>12750</v>
      </c>
      <c r="D3" s="16">
        <f t="shared" ref="D3:D10" si="1">B3*10</f>
        <v>25500</v>
      </c>
      <c r="E3" s="7" t="s">
        <v>206</v>
      </c>
    </row>
    <row r="4" spans="1:5" ht="15" customHeight="1" x14ac:dyDescent="0.25">
      <c r="A4" s="7" t="s">
        <v>207</v>
      </c>
      <c r="B4" s="24">
        <f>Assumptions!B22</f>
        <v>75</v>
      </c>
      <c r="C4" s="16">
        <f t="shared" si="0"/>
        <v>375</v>
      </c>
      <c r="D4" s="16">
        <f t="shared" si="1"/>
        <v>750</v>
      </c>
      <c r="E4" s="7" t="s">
        <v>208</v>
      </c>
    </row>
    <row r="5" spans="1:5" ht="15" customHeight="1" x14ac:dyDescent="0.25">
      <c r="A5" s="7" t="s">
        <v>209</v>
      </c>
      <c r="B5" s="24">
        <f>Assumptions!B23</f>
        <v>50</v>
      </c>
      <c r="C5" s="16">
        <f t="shared" si="0"/>
        <v>250</v>
      </c>
      <c r="D5" s="16">
        <f t="shared" si="1"/>
        <v>500</v>
      </c>
      <c r="E5" s="7" t="s">
        <v>210</v>
      </c>
    </row>
    <row r="6" spans="1:5" ht="15" customHeight="1" x14ac:dyDescent="0.25">
      <c r="A6" s="7" t="s">
        <v>211</v>
      </c>
      <c r="B6" s="24">
        <f>Assumptions!B24</f>
        <v>30</v>
      </c>
      <c r="C6" s="16">
        <f t="shared" si="0"/>
        <v>150</v>
      </c>
      <c r="D6" s="16">
        <f t="shared" si="1"/>
        <v>300</v>
      </c>
      <c r="E6" s="7" t="s">
        <v>210</v>
      </c>
    </row>
    <row r="7" spans="1:5" ht="15" customHeight="1" x14ac:dyDescent="0.25">
      <c r="A7" s="7" t="s">
        <v>212</v>
      </c>
      <c r="B7" s="24">
        <f>Assumptions!B25</f>
        <v>40</v>
      </c>
      <c r="C7" s="16">
        <f t="shared" si="0"/>
        <v>200</v>
      </c>
      <c r="D7" s="16">
        <f t="shared" si="1"/>
        <v>400</v>
      </c>
      <c r="E7" s="7" t="s">
        <v>213</v>
      </c>
    </row>
    <row r="8" spans="1:5" ht="15" customHeight="1" x14ac:dyDescent="0.25">
      <c r="A8" s="7" t="s">
        <v>214</v>
      </c>
      <c r="B8" s="24">
        <f>Assumptions!B26</f>
        <v>35</v>
      </c>
      <c r="C8" s="16">
        <f t="shared" si="0"/>
        <v>175</v>
      </c>
      <c r="D8" s="16">
        <f t="shared" si="1"/>
        <v>350</v>
      </c>
      <c r="E8" s="7" t="s">
        <v>215</v>
      </c>
    </row>
    <row r="9" spans="1:5" ht="15" customHeight="1" x14ac:dyDescent="0.25">
      <c r="A9" s="7" t="s">
        <v>216</v>
      </c>
      <c r="B9" s="24">
        <f>Assumptions!B27</f>
        <v>45</v>
      </c>
      <c r="C9" s="16">
        <f t="shared" si="0"/>
        <v>225</v>
      </c>
      <c r="D9" s="16">
        <f t="shared" si="1"/>
        <v>450</v>
      </c>
      <c r="E9" s="7" t="s">
        <v>217</v>
      </c>
    </row>
    <row r="10" spans="1:5" ht="15" customHeight="1" x14ac:dyDescent="0.25">
      <c r="A10" s="14" t="s">
        <v>218</v>
      </c>
      <c r="B10" s="18">
        <f>SUM(B3:B9)</f>
        <v>2825</v>
      </c>
      <c r="C10" s="18">
        <f t="shared" si="0"/>
        <v>14125</v>
      </c>
      <c r="D10" s="18">
        <f t="shared" si="1"/>
        <v>28250</v>
      </c>
    </row>
    <row r="12" spans="1:5" ht="15" customHeight="1" x14ac:dyDescent="0.25">
      <c r="A12" s="14" t="s">
        <v>219</v>
      </c>
      <c r="B12" s="17">
        <f>Assumptions!B37-B10</f>
        <v>175</v>
      </c>
    </row>
    <row r="13" spans="1:5" ht="15" customHeight="1" x14ac:dyDescent="0.25">
      <c r="A13" s="14" t="s">
        <v>220</v>
      </c>
      <c r="B13" s="38">
        <f>IFERROR(B12/Assumptions!B37,0)</f>
        <v>5.8333333333333334E-2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Assumptions</vt:lpstr>
      <vt:lpstr>Monthly P&amp;L</vt:lpstr>
      <vt:lpstr>Breakeven Summary</vt:lpstr>
      <vt:lpstr>Scope &amp; Build Cost</vt:lpstr>
      <vt:lpstr>Open Questions</vt:lpstr>
      <vt:lpstr>COGS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Patrick Bieser</cp:lastModifiedBy>
  <cp:revision>0</cp:revision>
  <dcterms:created xsi:type="dcterms:W3CDTF">2026-04-02T13:45:17Z</dcterms:created>
  <dcterms:modified xsi:type="dcterms:W3CDTF">2026-04-02T13:58:48Z</dcterms:modified>
  <dc:language>en-US</dc:language>
</cp:coreProperties>
</file>